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harts/chart1.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2"/>
  <workbookPr codeName="DieseArbeitsmappe" defaultThemeVersion="124226"/>
  <mc:AlternateContent xmlns:mc="http://schemas.openxmlformats.org/markup-compatibility/2006">
    <mc:Choice Requires="x15">
      <x15ac:absPath xmlns:x15ac="http://schemas.microsoft.com/office/spreadsheetml/2010/11/ac" url="C:\Users\Mabbing\Desktop\"/>
    </mc:Choice>
  </mc:AlternateContent>
  <xr:revisionPtr revIDLastSave="0" documentId="8_{20E66093-B1DE-440B-8F60-78B28F64A4CD}" xr6:coauthVersionLast="36" xr6:coauthVersionMax="36" xr10:uidLastSave="{00000000-0000-0000-0000-000000000000}"/>
  <workbookProtection workbookPassword="CF72" lockStructure="1"/>
  <bookViews>
    <workbookView xWindow="12140" yWindow="-20" windowWidth="12180" windowHeight="11760" tabRatio="914" xr2:uid="{00000000-000D-0000-FFFF-FFFF00000000}"/>
  </bookViews>
  <sheets>
    <sheet name="UserInterface" sheetId="1" r:id="rId1"/>
    <sheet name="Changelog" sheetId="42" state="hidden" r:id="rId2"/>
    <sheet name="LanguageTable" sheetId="23" state="hidden" r:id="rId3"/>
    <sheet name="Errorhandling" sheetId="11" state="hidden" r:id="rId4"/>
    <sheet name="ProductTable" sheetId="22" state="hidden" r:id="rId5"/>
    <sheet name="CT_HELP" sheetId="25" state="hidden" r:id="rId6"/>
    <sheet name="CT_APtoWLAN" sheetId="24" state="hidden" r:id="rId7"/>
    <sheet name="CT_APtoSTA" sheetId="26" state="hidden" r:id="rId8"/>
    <sheet name="CT_APtoC1" sheetId="30" state="hidden" r:id="rId9"/>
    <sheet name="CT_C1toANT" sheetId="27" state="hidden" r:id="rId10"/>
    <sheet name="CT_STAtoANT" sheetId="28" state="hidden" r:id="rId11"/>
    <sheet name="CT_STAtoWLAN" sheetId="29" state="hidden" r:id="rId12"/>
    <sheet name="CT_SAtoC1" sheetId="33" state="hidden" r:id="rId13"/>
    <sheet name="CT_APtoANT" sheetId="41" state="hidden" r:id="rId14"/>
    <sheet name="PointATempTables" sheetId="32" state="hidden" r:id="rId15"/>
    <sheet name="TDCable" sheetId="8" state="hidden" r:id="rId16"/>
    <sheet name="TDAntenna" sheetId="7" state="hidden" r:id="rId17"/>
    <sheet name="TDSurgeArrestor" sheetId="36" state="hidden" r:id="rId18"/>
    <sheet name="TDWLANModule" sheetId="31" state="hidden" r:id="rId19"/>
    <sheet name="TDcustomEIRP" sheetId="39" state="hidden" r:id="rId20"/>
    <sheet name="PointBTempTables" sheetId="35" state="hidden" r:id="rId21"/>
    <sheet name="SelectionTables" sheetId="21" state="hidden" r:id="rId22"/>
    <sheet name="TDSelected" sheetId="10" state="hidden" r:id="rId23"/>
    <sheet name="MastHeight" sheetId="37" state="hidden" r:id="rId24"/>
    <sheet name="Calculations" sheetId="12" state="hidden" r:id="rId25"/>
    <sheet name="Display" sheetId="13" state="hidden" r:id="rId26"/>
    <sheet name="Calc" sheetId="38" state="hidden" r:id="rId27"/>
    <sheet name="Debug" sheetId="40" state="hidden" r:id="rId28"/>
    <sheet name="Banner" sheetId="17" state="hidden" r:id="rId29"/>
    <sheet name="GraphicsAntenna" sheetId="20" state="hidden" r:id="rId30"/>
    <sheet name="GraphicsWLAN" sheetId="19" state="hidden" r:id="rId31"/>
  </sheets>
  <definedNames>
    <definedName name="Antenna" localSheetId="21">INDIRECT("GraphicsAntenna!A"&amp;SelectionTables!$G$89)</definedName>
    <definedName name="Antenna">INDIRECT("GraphicsAntenna!A"&amp;SelectionTables!$D$16)</definedName>
    <definedName name="Banner" localSheetId="21">INDIRECT("Banner!A"&amp;SelectionTables!$G$89)</definedName>
    <definedName name="Banner">INDIRECT("Banner!A"&amp;SelectionTables!$D$16)</definedName>
    <definedName name="_xlnm.Print_Area" localSheetId="6">CT_APtoWLAN!$B$162:$J$166</definedName>
    <definedName name="HILFE">UserInterface!$H$120</definedName>
    <definedName name="WLAN" localSheetId="21">INDIRECT("GraphicsWLAN!A"&amp;SelectionTables!$G$89)</definedName>
    <definedName name="WLAN">INDIRECT("GraphicsWLAN!A"&amp;SelectionTables!$D$16)</definedName>
  </definedNames>
  <calcPr calcId="191029"/>
</workbook>
</file>

<file path=xl/calcChain.xml><?xml version="1.0" encoding="utf-8"?>
<calcChain xmlns="http://schemas.openxmlformats.org/spreadsheetml/2006/main">
  <c r="F10" i="1" l="1"/>
  <c r="C55" i="23" l="1"/>
  <c r="B55" i="23" s="1"/>
  <c r="D3" i="37" l="1"/>
  <c r="D7" i="37" s="1"/>
  <c r="Q3" i="13" l="1"/>
  <c r="P3" i="13"/>
  <c r="B54" i="23" l="1"/>
  <c r="D35" i="1" s="1"/>
  <c r="P58" i="38"/>
  <c r="P59" i="38"/>
  <c r="P51" i="38"/>
  <c r="P52" i="38"/>
  <c r="P53" i="38"/>
  <c r="P54" i="38"/>
  <c r="P55" i="38"/>
  <c r="P56" i="38"/>
  <c r="P57" i="38"/>
  <c r="P50" i="38"/>
  <c r="P37" i="38"/>
  <c r="P38" i="38"/>
  <c r="P39" i="38"/>
  <c r="P40" i="38"/>
  <c r="P41" i="38"/>
  <c r="P42" i="38"/>
  <c r="P43" i="38"/>
  <c r="P44" i="38"/>
  <c r="P45" i="38"/>
  <c r="P36" i="38"/>
  <c r="G51" i="38"/>
  <c r="G52" i="38"/>
  <c r="G53" i="38"/>
  <c r="G54" i="38"/>
  <c r="G55" i="38"/>
  <c r="G56" i="38"/>
  <c r="G57" i="38"/>
  <c r="G58" i="38"/>
  <c r="G59" i="38"/>
  <c r="G50" i="38"/>
  <c r="G37" i="38"/>
  <c r="G38" i="38"/>
  <c r="G39" i="38"/>
  <c r="G40" i="38"/>
  <c r="G41" i="38"/>
  <c r="G42" i="38"/>
  <c r="G43" i="38"/>
  <c r="G44" i="38"/>
  <c r="G45" i="38"/>
  <c r="G36" i="38"/>
  <c r="G23" i="38"/>
  <c r="G24" i="38"/>
  <c r="G25" i="38"/>
  <c r="G26" i="38"/>
  <c r="G27" i="38"/>
  <c r="G28" i="38"/>
  <c r="G29" i="38"/>
  <c r="G30" i="38"/>
  <c r="G22" i="38"/>
  <c r="G9" i="38"/>
  <c r="G10" i="38"/>
  <c r="G11" i="38"/>
  <c r="G12" i="38"/>
  <c r="G13" i="38"/>
  <c r="G14" i="38"/>
  <c r="G15" i="38"/>
  <c r="G16" i="38"/>
  <c r="G8" i="38"/>
  <c r="E5" i="10" l="1"/>
  <c r="L100" i="12" l="1"/>
  <c r="L99" i="12"/>
  <c r="L98" i="12"/>
  <c r="L97" i="12"/>
  <c r="L96" i="12"/>
  <c r="L95" i="12"/>
  <c r="L94" i="12"/>
  <c r="L93" i="12"/>
  <c r="L92" i="12"/>
  <c r="L91" i="12"/>
  <c r="Q7" i="13" l="1"/>
  <c r="H22" i="40"/>
  <c r="B24" i="31"/>
  <c r="B11" i="23"/>
  <c r="C14" i="1" s="1"/>
  <c r="B23" i="31"/>
  <c r="B22" i="31"/>
  <c r="B21" i="31"/>
  <c r="B20" i="31"/>
  <c r="D3" i="41"/>
  <c r="P7" i="13"/>
  <c r="B364" i="25"/>
  <c r="B363" i="25"/>
  <c r="B362" i="25"/>
  <c r="B361" i="25"/>
  <c r="B360" i="25"/>
  <c r="B359" i="25"/>
  <c r="B358" i="25"/>
  <c r="B357" i="25"/>
  <c r="B356" i="25"/>
  <c r="B355" i="25"/>
  <c r="B354" i="25"/>
  <c r="B353" i="25"/>
  <c r="B352" i="25"/>
  <c r="B351" i="25"/>
  <c r="B350" i="25"/>
  <c r="B349" i="25"/>
  <c r="B348" i="25"/>
  <c r="B347" i="25"/>
  <c r="B346" i="25"/>
  <c r="B345" i="25"/>
  <c r="B344" i="25"/>
  <c r="B343" i="25"/>
  <c r="B342" i="25"/>
  <c r="B341" i="25"/>
  <c r="B340" i="25"/>
  <c r="B339" i="25"/>
  <c r="B338" i="25"/>
  <c r="B337" i="25"/>
  <c r="B336" i="25"/>
  <c r="B335" i="25"/>
  <c r="B334" i="25"/>
  <c r="B333" i="25"/>
  <c r="B332" i="25"/>
  <c r="B331" i="25"/>
  <c r="B330" i="25"/>
  <c r="B329" i="25"/>
  <c r="B328" i="25"/>
  <c r="B327" i="25"/>
  <c r="B326" i="25"/>
  <c r="B325" i="25"/>
  <c r="B324" i="25"/>
  <c r="B323" i="25"/>
  <c r="B322" i="25"/>
  <c r="B321" i="25"/>
  <c r="B320" i="25"/>
  <c r="B319" i="25"/>
  <c r="B318" i="25"/>
  <c r="B317" i="25"/>
  <c r="B316" i="25"/>
  <c r="B315" i="25"/>
  <c r="B314" i="25"/>
  <c r="B313" i="25"/>
  <c r="B312" i="25"/>
  <c r="B311" i="25"/>
  <c r="B310" i="25"/>
  <c r="B309" i="25"/>
  <c r="B308" i="25"/>
  <c r="B307" i="25"/>
  <c r="B306" i="25"/>
  <c r="B305" i="25"/>
  <c r="B304" i="25"/>
  <c r="B303" i="25"/>
  <c r="B302" i="25"/>
  <c r="B301" i="25"/>
  <c r="B300" i="25"/>
  <c r="B299" i="25"/>
  <c r="B298" i="25"/>
  <c r="B297" i="25"/>
  <c r="B296" i="25"/>
  <c r="B295" i="25"/>
  <c r="B294" i="25"/>
  <c r="B293" i="25"/>
  <c r="B292" i="25"/>
  <c r="B291" i="25"/>
  <c r="B290" i="25"/>
  <c r="B289" i="25"/>
  <c r="B288" i="25"/>
  <c r="B287" i="25"/>
  <c r="B286" i="25"/>
  <c r="B285" i="25"/>
  <c r="B284" i="25"/>
  <c r="B283" i="25"/>
  <c r="B282" i="25"/>
  <c r="B281" i="25"/>
  <c r="B280" i="25"/>
  <c r="B279" i="25"/>
  <c r="B278" i="25"/>
  <c r="B277" i="25"/>
  <c r="B276" i="25"/>
  <c r="B275" i="25"/>
  <c r="B274" i="25"/>
  <c r="B273" i="25"/>
  <c r="B272" i="25"/>
  <c r="B271" i="25"/>
  <c r="B270" i="25"/>
  <c r="B269" i="25"/>
  <c r="B268" i="25"/>
  <c r="B267" i="25"/>
  <c r="B266" i="25"/>
  <c r="B265" i="25"/>
  <c r="B264" i="25"/>
  <c r="B263" i="25"/>
  <c r="B262" i="25"/>
  <c r="B261" i="25"/>
  <c r="B260" i="25"/>
  <c r="B259" i="25"/>
  <c r="B258" i="25"/>
  <c r="B257" i="25"/>
  <c r="B256" i="25"/>
  <c r="B255" i="25"/>
  <c r="B254" i="25"/>
  <c r="B253" i="25"/>
  <c r="B252" i="25"/>
  <c r="B251" i="25"/>
  <c r="B250" i="25"/>
  <c r="B249" i="25"/>
  <c r="B248" i="25"/>
  <c r="B247" i="25"/>
  <c r="B246" i="25"/>
  <c r="B245" i="25"/>
  <c r="B244" i="25"/>
  <c r="B243" i="25"/>
  <c r="B242" i="25"/>
  <c r="B241" i="25"/>
  <c r="B19" i="31"/>
  <c r="B18" i="31"/>
  <c r="B17" i="31"/>
  <c r="P4" i="7"/>
  <c r="R5" i="7" s="1"/>
  <c r="B16" i="31"/>
  <c r="B15" i="31"/>
  <c r="B20" i="23"/>
  <c r="F12" i="1" s="1"/>
  <c r="B4" i="23"/>
  <c r="O14" i="8" s="1"/>
  <c r="B5" i="23"/>
  <c r="B20" i="27" s="1"/>
  <c r="B7" i="23"/>
  <c r="V7" i="22" s="1"/>
  <c r="B14" i="31"/>
  <c r="E4" i="25"/>
  <c r="F4" i="25" s="1"/>
  <c r="G4" i="25" s="1"/>
  <c r="H4" i="25" s="1"/>
  <c r="B6" i="23"/>
  <c r="B5" i="36" s="1"/>
  <c r="C2" i="36" s="1"/>
  <c r="B3" i="23"/>
  <c r="N6" i="27" s="1"/>
  <c r="B2" i="23"/>
  <c r="P6" i="28" s="1"/>
  <c r="B51" i="23"/>
  <c r="B48" i="23"/>
  <c r="E53" i="23"/>
  <c r="D53" i="23"/>
  <c r="C53" i="23"/>
  <c r="B53" i="23"/>
  <c r="B49" i="23"/>
  <c r="D50" i="23"/>
  <c r="B52" i="23"/>
  <c r="E50" i="23"/>
  <c r="C50" i="23"/>
  <c r="B50" i="23"/>
  <c r="B38" i="23"/>
  <c r="E17" i="11" s="1"/>
  <c r="D27" i="11"/>
  <c r="B47" i="23"/>
  <c r="T6" i="33" s="1"/>
  <c r="D5" i="39"/>
  <c r="D20" i="21"/>
  <c r="D25" i="21" s="1"/>
  <c r="D19" i="21"/>
  <c r="E7" i="39"/>
  <c r="E6" i="39"/>
  <c r="D7" i="39"/>
  <c r="D4" i="39" s="1"/>
  <c r="K7" i="8"/>
  <c r="C28" i="11"/>
  <c r="C27" i="11"/>
  <c r="C2" i="22"/>
  <c r="D2" i="26"/>
  <c r="D3" i="26"/>
  <c r="G2" i="26" s="1"/>
  <c r="D3" i="24"/>
  <c r="D7" i="40" s="1"/>
  <c r="D3" i="29"/>
  <c r="G2" i="29" s="1"/>
  <c r="AB2" i="22"/>
  <c r="AA4" i="22" s="1"/>
  <c r="B4" i="31"/>
  <c r="B5" i="31"/>
  <c r="B6" i="31"/>
  <c r="B7" i="31"/>
  <c r="B8" i="31"/>
  <c r="D3" i="28"/>
  <c r="D3" i="30"/>
  <c r="B9" i="31"/>
  <c r="B10" i="31"/>
  <c r="B11" i="31"/>
  <c r="B12" i="31"/>
  <c r="B13" i="31"/>
  <c r="D7" i="8"/>
  <c r="B21" i="23"/>
  <c r="J6" i="38"/>
  <c r="V12" i="38" s="1"/>
  <c r="B10" i="13"/>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366" i="13" s="1"/>
  <c r="B367" i="13" s="1"/>
  <c r="B368" i="13" s="1"/>
  <c r="B369" i="13" s="1"/>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418" i="13" s="1"/>
  <c r="B419" i="13" s="1"/>
  <c r="B420" i="13" s="1"/>
  <c r="B421" i="13" s="1"/>
  <c r="B422" i="13" s="1"/>
  <c r="B423" i="13" s="1"/>
  <c r="B424" i="13" s="1"/>
  <c r="B425" i="13" s="1"/>
  <c r="B426" i="13" s="1"/>
  <c r="B427" i="13" s="1"/>
  <c r="B428" i="13" s="1"/>
  <c r="B429" i="13" s="1"/>
  <c r="B430" i="13" s="1"/>
  <c r="B431" i="13" s="1"/>
  <c r="B432" i="13" s="1"/>
  <c r="B433" i="13" s="1"/>
  <c r="B434" i="13" s="1"/>
  <c r="B435" i="13" s="1"/>
  <c r="B436" i="13" s="1"/>
  <c r="B437" i="13" s="1"/>
  <c r="B438" i="13" s="1"/>
  <c r="B439" i="13" s="1"/>
  <c r="B440" i="13" s="1"/>
  <c r="B441" i="13" s="1"/>
  <c r="B442" i="13" s="1"/>
  <c r="B443" i="13" s="1"/>
  <c r="B444" i="13" s="1"/>
  <c r="B445" i="13" s="1"/>
  <c r="B446" i="13" s="1"/>
  <c r="B447" i="13" s="1"/>
  <c r="B448" i="13" s="1"/>
  <c r="B449" i="13" s="1"/>
  <c r="B450" i="13" s="1"/>
  <c r="B451" i="13" s="1"/>
  <c r="B452" i="13" s="1"/>
  <c r="B453" i="13" s="1"/>
  <c r="B454" i="13" s="1"/>
  <c r="B455" i="13" s="1"/>
  <c r="B456" i="13" s="1"/>
  <c r="B457" i="13" s="1"/>
  <c r="B458" i="13" s="1"/>
  <c r="B459" i="13" s="1"/>
  <c r="B460" i="13" s="1"/>
  <c r="B461" i="13" s="1"/>
  <c r="B462" i="13" s="1"/>
  <c r="B463" i="13" s="1"/>
  <c r="B464" i="13" s="1"/>
  <c r="B465" i="13" s="1"/>
  <c r="B466" i="13" s="1"/>
  <c r="B467" i="13" s="1"/>
  <c r="B468" i="13" s="1"/>
  <c r="B469" i="13" s="1"/>
  <c r="B470" i="13" s="1"/>
  <c r="B471" i="13" s="1"/>
  <c r="B472" i="13" s="1"/>
  <c r="B473" i="13" s="1"/>
  <c r="B474" i="13" s="1"/>
  <c r="B475" i="13" s="1"/>
  <c r="B476" i="13" s="1"/>
  <c r="B477" i="13" s="1"/>
  <c r="B478" i="13" s="1"/>
  <c r="B479" i="13" s="1"/>
  <c r="B480" i="13" s="1"/>
  <c r="B481" i="13" s="1"/>
  <c r="B482" i="13" s="1"/>
  <c r="B483" i="13" s="1"/>
  <c r="B484" i="13" s="1"/>
  <c r="B485" i="13" s="1"/>
  <c r="B486" i="13" s="1"/>
  <c r="B487" i="13" s="1"/>
  <c r="B488" i="13" s="1"/>
  <c r="B489" i="13" s="1"/>
  <c r="B490" i="13" s="1"/>
  <c r="B491" i="13" s="1"/>
  <c r="B492" i="13" s="1"/>
  <c r="B493" i="13" s="1"/>
  <c r="B494" i="13" s="1"/>
  <c r="B495" i="13" s="1"/>
  <c r="B496" i="13" s="1"/>
  <c r="B497" i="13" s="1"/>
  <c r="B498" i="13" s="1"/>
  <c r="B499" i="13" s="1"/>
  <c r="B500" i="13" s="1"/>
  <c r="B501" i="13" s="1"/>
  <c r="B502" i="13" s="1"/>
  <c r="B503" i="13" s="1"/>
  <c r="B504" i="13" s="1"/>
  <c r="B505" i="13" s="1"/>
  <c r="B506" i="13" s="1"/>
  <c r="B507" i="13" s="1"/>
  <c r="B508" i="13" s="1"/>
  <c r="B509" i="13" s="1"/>
  <c r="B510" i="13" s="1"/>
  <c r="B511" i="13" s="1"/>
  <c r="B512" i="13" s="1"/>
  <c r="B513" i="13" s="1"/>
  <c r="B514" i="13" s="1"/>
  <c r="B515" i="13" s="1"/>
  <c r="B516" i="13" s="1"/>
  <c r="B517" i="13" s="1"/>
  <c r="B518" i="13" s="1"/>
  <c r="B519" i="13" s="1"/>
  <c r="B520" i="13" s="1"/>
  <c r="B521" i="13" s="1"/>
  <c r="B522" i="13" s="1"/>
  <c r="B523" i="13" s="1"/>
  <c r="B524" i="13" s="1"/>
  <c r="B525" i="13" s="1"/>
  <c r="B526" i="13" s="1"/>
  <c r="B527" i="13" s="1"/>
  <c r="B528" i="13" s="1"/>
  <c r="B529" i="13" s="1"/>
  <c r="B530" i="13" s="1"/>
  <c r="B531" i="13" s="1"/>
  <c r="B532" i="13" s="1"/>
  <c r="B533" i="13" s="1"/>
  <c r="B534" i="13" s="1"/>
  <c r="B535" i="13" s="1"/>
  <c r="B536" i="13" s="1"/>
  <c r="B537" i="13" s="1"/>
  <c r="B538" i="13" s="1"/>
  <c r="B539" i="13" s="1"/>
  <c r="B540" i="13" s="1"/>
  <c r="B541" i="13" s="1"/>
  <c r="B542" i="13" s="1"/>
  <c r="B543" i="13" s="1"/>
  <c r="B544" i="13" s="1"/>
  <c r="B545" i="13" s="1"/>
  <c r="B546" i="13" s="1"/>
  <c r="B547" i="13" s="1"/>
  <c r="B548" i="13" s="1"/>
  <c r="B549" i="13" s="1"/>
  <c r="B550" i="13" s="1"/>
  <c r="B551" i="13" s="1"/>
  <c r="B552" i="13" s="1"/>
  <c r="B553" i="13" s="1"/>
  <c r="B554" i="13" s="1"/>
  <c r="B555" i="13" s="1"/>
  <c r="B556" i="13" s="1"/>
  <c r="B557" i="13" s="1"/>
  <c r="B558" i="13" s="1"/>
  <c r="B559" i="13" s="1"/>
  <c r="B560" i="13" s="1"/>
  <c r="B561" i="13" s="1"/>
  <c r="B562" i="13" s="1"/>
  <c r="B563" i="13" s="1"/>
  <c r="B564" i="13" s="1"/>
  <c r="B565" i="13" s="1"/>
  <c r="B566" i="13" s="1"/>
  <c r="B567" i="13" s="1"/>
  <c r="B568" i="13" s="1"/>
  <c r="B569" i="13" s="1"/>
  <c r="B570" i="13" s="1"/>
  <c r="B571" i="13" s="1"/>
  <c r="B572" i="13" s="1"/>
  <c r="B573" i="13" s="1"/>
  <c r="B574" i="13" s="1"/>
  <c r="B575" i="13" s="1"/>
  <c r="B576" i="13" s="1"/>
  <c r="B577" i="13" s="1"/>
  <c r="B578" i="13" s="1"/>
  <c r="B579" i="13" s="1"/>
  <c r="B580" i="13" s="1"/>
  <c r="B581" i="13" s="1"/>
  <c r="B582" i="13" s="1"/>
  <c r="B583" i="13" s="1"/>
  <c r="B584" i="13" s="1"/>
  <c r="B585" i="13" s="1"/>
  <c r="B586" i="13" s="1"/>
  <c r="B587" i="13" s="1"/>
  <c r="B588" i="13" s="1"/>
  <c r="B589" i="13" s="1"/>
  <c r="B590" i="13" s="1"/>
  <c r="B591" i="13" s="1"/>
  <c r="B592" i="13" s="1"/>
  <c r="B593" i="13" s="1"/>
  <c r="B594" i="13" s="1"/>
  <c r="B595" i="13" s="1"/>
  <c r="B596" i="13" s="1"/>
  <c r="B597" i="13" s="1"/>
  <c r="B598" i="13" s="1"/>
  <c r="B599" i="13" s="1"/>
  <c r="B600" i="13" s="1"/>
  <c r="B601" i="13" s="1"/>
  <c r="B602" i="13" s="1"/>
  <c r="B603" i="13" s="1"/>
  <c r="B604" i="13" s="1"/>
  <c r="B605" i="13" s="1"/>
  <c r="B606" i="13" s="1"/>
  <c r="B607" i="13" s="1"/>
  <c r="B608" i="13" s="1"/>
  <c r="B609" i="13" s="1"/>
  <c r="B610" i="13" s="1"/>
  <c r="B611" i="13" s="1"/>
  <c r="B612" i="13" s="1"/>
  <c r="B613" i="13" s="1"/>
  <c r="B614" i="13" s="1"/>
  <c r="B615" i="13" s="1"/>
  <c r="B616" i="13" s="1"/>
  <c r="B617" i="13" s="1"/>
  <c r="B618" i="13" s="1"/>
  <c r="B619" i="13" s="1"/>
  <c r="B620" i="13" s="1"/>
  <c r="B621" i="13" s="1"/>
  <c r="B622" i="13" s="1"/>
  <c r="B623" i="13" s="1"/>
  <c r="B624" i="13" s="1"/>
  <c r="B625" i="13" s="1"/>
  <c r="B626" i="13" s="1"/>
  <c r="B627" i="13" s="1"/>
  <c r="B628" i="13" s="1"/>
  <c r="B629" i="13" s="1"/>
  <c r="B630" i="13" s="1"/>
  <c r="B631" i="13" s="1"/>
  <c r="B632" i="13" s="1"/>
  <c r="B633" i="13" s="1"/>
  <c r="B634" i="13" s="1"/>
  <c r="B635" i="13" s="1"/>
  <c r="B636" i="13" s="1"/>
  <c r="B637" i="13" s="1"/>
  <c r="B638" i="13" s="1"/>
  <c r="B639" i="13" s="1"/>
  <c r="B640" i="13" s="1"/>
  <c r="B641" i="13" s="1"/>
  <c r="B642" i="13" s="1"/>
  <c r="B643" i="13" s="1"/>
  <c r="B644" i="13" s="1"/>
  <c r="B645" i="13" s="1"/>
  <c r="B646" i="13" s="1"/>
  <c r="B647" i="13" s="1"/>
  <c r="B648" i="13" s="1"/>
  <c r="B649" i="13" s="1"/>
  <c r="B650" i="13" s="1"/>
  <c r="B651" i="13" s="1"/>
  <c r="B652" i="13" s="1"/>
  <c r="B653" i="13" s="1"/>
  <c r="B654" i="13" s="1"/>
  <c r="B655" i="13" s="1"/>
  <c r="B656" i="13" s="1"/>
  <c r="B657" i="13" s="1"/>
  <c r="B658" i="13" s="1"/>
  <c r="B659" i="13" s="1"/>
  <c r="B660" i="13" s="1"/>
  <c r="B661" i="13" s="1"/>
  <c r="B662" i="13" s="1"/>
  <c r="B663" i="13" s="1"/>
  <c r="B664" i="13" s="1"/>
  <c r="B665" i="13" s="1"/>
  <c r="B666" i="13" s="1"/>
  <c r="B667" i="13" s="1"/>
  <c r="B668" i="13" s="1"/>
  <c r="B669" i="13" s="1"/>
  <c r="B670" i="13" s="1"/>
  <c r="B671" i="13" s="1"/>
  <c r="B672" i="13" s="1"/>
  <c r="B673" i="13" s="1"/>
  <c r="B674" i="13" s="1"/>
  <c r="B675" i="13" s="1"/>
  <c r="B676" i="13" s="1"/>
  <c r="B677" i="13" s="1"/>
  <c r="B678" i="13" s="1"/>
  <c r="B679" i="13" s="1"/>
  <c r="B680" i="13" s="1"/>
  <c r="B681" i="13" s="1"/>
  <c r="B682" i="13" s="1"/>
  <c r="B683" i="13" s="1"/>
  <c r="B684" i="13" s="1"/>
  <c r="B685" i="13" s="1"/>
  <c r="B686" i="13" s="1"/>
  <c r="B687" i="13" s="1"/>
  <c r="B688" i="13" s="1"/>
  <c r="B689" i="13" s="1"/>
  <c r="B690" i="13" s="1"/>
  <c r="B691" i="13" s="1"/>
  <c r="B692" i="13" s="1"/>
  <c r="B693" i="13" s="1"/>
  <c r="B694" i="13" s="1"/>
  <c r="B695" i="13" s="1"/>
  <c r="B696" i="13" s="1"/>
  <c r="B697" i="13" s="1"/>
  <c r="B698" i="13" s="1"/>
  <c r="B699" i="13" s="1"/>
  <c r="B700" i="13" s="1"/>
  <c r="B701" i="13" s="1"/>
  <c r="B702" i="13" s="1"/>
  <c r="B703" i="13" s="1"/>
  <c r="B704" i="13" s="1"/>
  <c r="B705" i="13" s="1"/>
  <c r="B706" i="13" s="1"/>
  <c r="B707" i="13" s="1"/>
  <c r="B708" i="13" s="1"/>
  <c r="B709" i="13" s="1"/>
  <c r="B710" i="13" s="1"/>
  <c r="B711" i="13" s="1"/>
  <c r="B712" i="13" s="1"/>
  <c r="B713" i="13" s="1"/>
  <c r="B714" i="13" s="1"/>
  <c r="B715" i="13" s="1"/>
  <c r="B716" i="13" s="1"/>
  <c r="B717" i="13" s="1"/>
  <c r="B718" i="13" s="1"/>
  <c r="B719" i="13" s="1"/>
  <c r="B720" i="13" s="1"/>
  <c r="B721" i="13" s="1"/>
  <c r="B722" i="13" s="1"/>
  <c r="B723" i="13" s="1"/>
  <c r="B724" i="13" s="1"/>
  <c r="B725" i="13" s="1"/>
  <c r="B726" i="13" s="1"/>
  <c r="B727" i="13" s="1"/>
  <c r="B728" i="13" s="1"/>
  <c r="B729" i="13" s="1"/>
  <c r="B730" i="13" s="1"/>
  <c r="B731" i="13" s="1"/>
  <c r="B732" i="13" s="1"/>
  <c r="B733" i="13" s="1"/>
  <c r="B734" i="13" s="1"/>
  <c r="B735" i="13" s="1"/>
  <c r="B736" i="13" s="1"/>
  <c r="B737" i="13" s="1"/>
  <c r="B738" i="13" s="1"/>
  <c r="B739" i="13" s="1"/>
  <c r="B740" i="13" s="1"/>
  <c r="B741" i="13" s="1"/>
  <c r="B742" i="13" s="1"/>
  <c r="B743" i="13" s="1"/>
  <c r="B744" i="13" s="1"/>
  <c r="B745" i="13" s="1"/>
  <c r="B746" i="13" s="1"/>
  <c r="B747" i="13" s="1"/>
  <c r="B748" i="13" s="1"/>
  <c r="B749" i="13" s="1"/>
  <c r="B750" i="13" s="1"/>
  <c r="B751" i="13" s="1"/>
  <c r="B752" i="13" s="1"/>
  <c r="B753" i="13" s="1"/>
  <c r="B754" i="13" s="1"/>
  <c r="B755" i="13" s="1"/>
  <c r="B756" i="13" s="1"/>
  <c r="B757" i="13" s="1"/>
  <c r="B758" i="13" s="1"/>
  <c r="B759" i="13" s="1"/>
  <c r="B760" i="13" s="1"/>
  <c r="B761" i="13" s="1"/>
  <c r="B762" i="13" s="1"/>
  <c r="B763" i="13" s="1"/>
  <c r="B764" i="13" s="1"/>
  <c r="B765" i="13" s="1"/>
  <c r="B766" i="13" s="1"/>
  <c r="B767" i="13" s="1"/>
  <c r="B768" i="13" s="1"/>
  <c r="B769" i="13" s="1"/>
  <c r="B770" i="13" s="1"/>
  <c r="B771" i="13" s="1"/>
  <c r="B772" i="13" s="1"/>
  <c r="B773" i="13" s="1"/>
  <c r="B774" i="13" s="1"/>
  <c r="B775" i="13" s="1"/>
  <c r="B776" i="13" s="1"/>
  <c r="B777" i="13" s="1"/>
  <c r="B778" i="13" s="1"/>
  <c r="B779" i="13" s="1"/>
  <c r="B780" i="13" s="1"/>
  <c r="B781" i="13" s="1"/>
  <c r="B782" i="13" s="1"/>
  <c r="B783" i="13" s="1"/>
  <c r="B784" i="13" s="1"/>
  <c r="B785" i="13" s="1"/>
  <c r="B786" i="13" s="1"/>
  <c r="B787" i="13" s="1"/>
  <c r="B788" i="13" s="1"/>
  <c r="B789" i="13" s="1"/>
  <c r="B790" i="13" s="1"/>
  <c r="B791" i="13" s="1"/>
  <c r="B792" i="13" s="1"/>
  <c r="B793" i="13" s="1"/>
  <c r="B794" i="13" s="1"/>
  <c r="B795" i="13" s="1"/>
  <c r="B796" i="13" s="1"/>
  <c r="B797" i="13" s="1"/>
  <c r="B798" i="13" s="1"/>
  <c r="B799" i="13" s="1"/>
  <c r="B800" i="13" s="1"/>
  <c r="B801" i="13" s="1"/>
  <c r="B802" i="13" s="1"/>
  <c r="B803" i="13" s="1"/>
  <c r="B804" i="13" s="1"/>
  <c r="B805" i="13" s="1"/>
  <c r="B806" i="13" s="1"/>
  <c r="B807" i="13" s="1"/>
  <c r="B808" i="13" s="1"/>
  <c r="B809" i="13" s="1"/>
  <c r="B810" i="13" s="1"/>
  <c r="B811" i="13" s="1"/>
  <c r="B812" i="13" s="1"/>
  <c r="B813" i="13" s="1"/>
  <c r="B814" i="13" s="1"/>
  <c r="B815" i="13" s="1"/>
  <c r="B816" i="13" s="1"/>
  <c r="B817" i="13" s="1"/>
  <c r="B818" i="13" s="1"/>
  <c r="B819" i="13" s="1"/>
  <c r="B820" i="13" s="1"/>
  <c r="B821" i="13" s="1"/>
  <c r="B822" i="13" s="1"/>
  <c r="B823" i="13" s="1"/>
  <c r="B824" i="13" s="1"/>
  <c r="B825" i="13" s="1"/>
  <c r="B826" i="13" s="1"/>
  <c r="B827" i="13" s="1"/>
  <c r="B828" i="13" s="1"/>
  <c r="B829" i="13" s="1"/>
  <c r="B830" i="13" s="1"/>
  <c r="B831" i="13" s="1"/>
  <c r="B832" i="13" s="1"/>
  <c r="B833" i="13" s="1"/>
  <c r="B834" i="13" s="1"/>
  <c r="B835" i="13" s="1"/>
  <c r="B836" i="13" s="1"/>
  <c r="B837" i="13" s="1"/>
  <c r="B838" i="13" s="1"/>
  <c r="B839" i="13" s="1"/>
  <c r="B840" i="13" s="1"/>
  <c r="B841" i="13" s="1"/>
  <c r="B842" i="13" s="1"/>
  <c r="B843" i="13" s="1"/>
  <c r="B844" i="13" s="1"/>
  <c r="B845" i="13" s="1"/>
  <c r="B846" i="13" s="1"/>
  <c r="B847" i="13" s="1"/>
  <c r="B848" i="13" s="1"/>
  <c r="B849" i="13" s="1"/>
  <c r="B850" i="13" s="1"/>
  <c r="B851" i="13" s="1"/>
  <c r="B852" i="13" s="1"/>
  <c r="B853" i="13" s="1"/>
  <c r="B854" i="13" s="1"/>
  <c r="B855" i="13" s="1"/>
  <c r="B856" i="13" s="1"/>
  <c r="B857" i="13" s="1"/>
  <c r="B858" i="13" s="1"/>
  <c r="B859" i="13" s="1"/>
  <c r="B860" i="13" s="1"/>
  <c r="B861" i="13" s="1"/>
  <c r="B862" i="13" s="1"/>
  <c r="B863" i="13" s="1"/>
  <c r="B864" i="13" s="1"/>
  <c r="B865" i="13" s="1"/>
  <c r="B866" i="13" s="1"/>
  <c r="B867" i="13" s="1"/>
  <c r="B868" i="13" s="1"/>
  <c r="B869" i="13" s="1"/>
  <c r="B870" i="13" s="1"/>
  <c r="B871" i="13" s="1"/>
  <c r="B872" i="13" s="1"/>
  <c r="B873" i="13" s="1"/>
  <c r="B874" i="13" s="1"/>
  <c r="B875" i="13" s="1"/>
  <c r="B876" i="13" s="1"/>
  <c r="B877" i="13" s="1"/>
  <c r="B878" i="13" s="1"/>
  <c r="B879" i="13" s="1"/>
  <c r="B880" i="13" s="1"/>
  <c r="B881" i="13" s="1"/>
  <c r="B882" i="13" s="1"/>
  <c r="B883" i="13" s="1"/>
  <c r="B884" i="13" s="1"/>
  <c r="B885" i="13" s="1"/>
  <c r="B886" i="13" s="1"/>
  <c r="B887" i="13" s="1"/>
  <c r="B888" i="13" s="1"/>
  <c r="B889" i="13" s="1"/>
  <c r="B890" i="13" s="1"/>
  <c r="B891" i="13" s="1"/>
  <c r="B892" i="13" s="1"/>
  <c r="B893" i="13" s="1"/>
  <c r="B894" i="13" s="1"/>
  <c r="B895" i="13" s="1"/>
  <c r="B896" i="13" s="1"/>
  <c r="B897" i="13" s="1"/>
  <c r="B898" i="13" s="1"/>
  <c r="B899" i="13" s="1"/>
  <c r="B900" i="13" s="1"/>
  <c r="B901" i="13" s="1"/>
  <c r="B902" i="13" s="1"/>
  <c r="B903" i="13" s="1"/>
  <c r="B904" i="13" s="1"/>
  <c r="B905" i="13" s="1"/>
  <c r="B906" i="13" s="1"/>
  <c r="B907" i="13" s="1"/>
  <c r="B908" i="13" s="1"/>
  <c r="B909" i="13" s="1"/>
  <c r="B910" i="13" s="1"/>
  <c r="B911" i="13" s="1"/>
  <c r="B912" i="13" s="1"/>
  <c r="B913" i="13" s="1"/>
  <c r="B914" i="13" s="1"/>
  <c r="B915" i="13" s="1"/>
  <c r="B916" i="13" s="1"/>
  <c r="B917" i="13" s="1"/>
  <c r="B918" i="13" s="1"/>
  <c r="B919" i="13" s="1"/>
  <c r="B920" i="13" s="1"/>
  <c r="B921" i="13" s="1"/>
  <c r="B922" i="13" s="1"/>
  <c r="B923" i="13" s="1"/>
  <c r="B924" i="13" s="1"/>
  <c r="B925" i="13" s="1"/>
  <c r="B926" i="13" s="1"/>
  <c r="B927" i="13" s="1"/>
  <c r="B928" i="13" s="1"/>
  <c r="B929" i="13" s="1"/>
  <c r="B930" i="13" s="1"/>
  <c r="B931" i="13" s="1"/>
  <c r="B932" i="13" s="1"/>
  <c r="B933" i="13" s="1"/>
  <c r="B934" i="13" s="1"/>
  <c r="B935" i="13" s="1"/>
  <c r="B936" i="13" s="1"/>
  <c r="B937" i="13" s="1"/>
  <c r="B938" i="13" s="1"/>
  <c r="B939" i="13" s="1"/>
  <c r="B940" i="13" s="1"/>
  <c r="B941" i="13" s="1"/>
  <c r="B942" i="13" s="1"/>
  <c r="B943" i="13" s="1"/>
  <c r="B944" i="13" s="1"/>
  <c r="B945" i="13" s="1"/>
  <c r="B946" i="13" s="1"/>
  <c r="B947" i="13" s="1"/>
  <c r="B948" i="13" s="1"/>
  <c r="B949" i="13" s="1"/>
  <c r="B950" i="13" s="1"/>
  <c r="B951" i="13" s="1"/>
  <c r="B952" i="13" s="1"/>
  <c r="B953" i="13" s="1"/>
  <c r="B954" i="13" s="1"/>
  <c r="B955" i="13" s="1"/>
  <c r="B956" i="13" s="1"/>
  <c r="B957" i="13" s="1"/>
  <c r="B958" i="13" s="1"/>
  <c r="B959" i="13" s="1"/>
  <c r="B960" i="13" s="1"/>
  <c r="B961" i="13" s="1"/>
  <c r="B962" i="13" s="1"/>
  <c r="B963" i="13" s="1"/>
  <c r="B964" i="13" s="1"/>
  <c r="B965" i="13" s="1"/>
  <c r="B966" i="13" s="1"/>
  <c r="B967" i="13" s="1"/>
  <c r="B968" i="13" s="1"/>
  <c r="B969" i="13" s="1"/>
  <c r="B970" i="13" s="1"/>
  <c r="B971" i="13" s="1"/>
  <c r="B972" i="13" s="1"/>
  <c r="B973" i="13" s="1"/>
  <c r="B974" i="13" s="1"/>
  <c r="B975" i="13" s="1"/>
  <c r="B976" i="13" s="1"/>
  <c r="B977" i="13" s="1"/>
  <c r="B978" i="13" s="1"/>
  <c r="B979" i="13" s="1"/>
  <c r="B980" i="13" s="1"/>
  <c r="B981" i="13" s="1"/>
  <c r="B982" i="13" s="1"/>
  <c r="B983" i="13" s="1"/>
  <c r="B984" i="13" s="1"/>
  <c r="B985" i="13" s="1"/>
  <c r="B986" i="13" s="1"/>
  <c r="B987" i="13" s="1"/>
  <c r="B988" i="13" s="1"/>
  <c r="B989" i="13" s="1"/>
  <c r="B990" i="13" s="1"/>
  <c r="B991" i="13" s="1"/>
  <c r="B992" i="13" s="1"/>
  <c r="B993" i="13" s="1"/>
  <c r="B994" i="13" s="1"/>
  <c r="B995" i="13" s="1"/>
  <c r="B996" i="13" s="1"/>
  <c r="B997" i="13" s="1"/>
  <c r="B998" i="13" s="1"/>
  <c r="B999" i="13" s="1"/>
  <c r="B1000" i="13" s="1"/>
  <c r="B1001" i="13" s="1"/>
  <c r="B1002" i="13" s="1"/>
  <c r="B1003" i="13" s="1"/>
  <c r="B1004" i="13" s="1"/>
  <c r="B1005" i="13" s="1"/>
  <c r="B1006" i="13" s="1"/>
  <c r="B1007" i="13" s="1"/>
  <c r="B1008" i="13" s="1"/>
  <c r="B1009" i="13" s="1"/>
  <c r="B1010" i="13" s="1"/>
  <c r="B1011" i="13" s="1"/>
  <c r="B1012" i="13" s="1"/>
  <c r="B1013" i="13" s="1"/>
  <c r="B1014" i="13" s="1"/>
  <c r="B1015" i="13" s="1"/>
  <c r="B1016" i="13" s="1"/>
  <c r="B1017" i="13" s="1"/>
  <c r="B1018" i="13" s="1"/>
  <c r="B1019" i="13" s="1"/>
  <c r="B1020" i="13" s="1"/>
  <c r="B1021" i="13" s="1"/>
  <c r="B1022" i="13" s="1"/>
  <c r="B1023" i="13" s="1"/>
  <c r="B1024" i="13" s="1"/>
  <c r="B1025" i="13" s="1"/>
  <c r="B1026" i="13" s="1"/>
  <c r="B1027" i="13" s="1"/>
  <c r="B1028" i="13" s="1"/>
  <c r="B1029" i="13" s="1"/>
  <c r="B1030" i="13" s="1"/>
  <c r="B1031" i="13" s="1"/>
  <c r="B1032" i="13" s="1"/>
  <c r="B1033" i="13" s="1"/>
  <c r="B1034" i="13" s="1"/>
  <c r="B1035" i="13" s="1"/>
  <c r="B1036" i="13" s="1"/>
  <c r="B1037" i="13" s="1"/>
  <c r="B1038" i="13" s="1"/>
  <c r="B1039" i="13" s="1"/>
  <c r="B1040" i="13" s="1"/>
  <c r="B1041" i="13" s="1"/>
  <c r="B1042" i="13" s="1"/>
  <c r="B1043" i="13" s="1"/>
  <c r="B1044" i="13" s="1"/>
  <c r="B1045" i="13" s="1"/>
  <c r="B1046" i="13" s="1"/>
  <c r="B1047" i="13" s="1"/>
  <c r="B1048" i="13" s="1"/>
  <c r="B1049" i="13" s="1"/>
  <c r="B1050" i="13" s="1"/>
  <c r="B1051" i="13" s="1"/>
  <c r="B1052" i="13" s="1"/>
  <c r="B1053" i="13" s="1"/>
  <c r="B1054" i="13" s="1"/>
  <c r="B1055" i="13" s="1"/>
  <c r="B1056" i="13" s="1"/>
  <c r="B1057" i="13" s="1"/>
  <c r="B1058" i="13" s="1"/>
  <c r="B1059" i="13" s="1"/>
  <c r="B1060" i="13" s="1"/>
  <c r="B1061" i="13" s="1"/>
  <c r="B1062" i="13" s="1"/>
  <c r="B1063" i="13" s="1"/>
  <c r="B1064" i="13" s="1"/>
  <c r="B1065" i="13" s="1"/>
  <c r="B1066" i="13" s="1"/>
  <c r="B1067" i="13" s="1"/>
  <c r="B1068" i="13" s="1"/>
  <c r="B1069" i="13" s="1"/>
  <c r="B1070" i="13" s="1"/>
  <c r="B1071" i="13" s="1"/>
  <c r="B1072" i="13" s="1"/>
  <c r="B1073" i="13" s="1"/>
  <c r="B1074" i="13" s="1"/>
  <c r="B1075" i="13" s="1"/>
  <c r="B1076" i="13" s="1"/>
  <c r="B1077" i="13" s="1"/>
  <c r="B1078" i="13" s="1"/>
  <c r="B1079" i="13" s="1"/>
  <c r="B1080" i="13" s="1"/>
  <c r="B1081" i="13" s="1"/>
  <c r="B1082" i="13" s="1"/>
  <c r="B1083" i="13" s="1"/>
  <c r="B1084" i="13" s="1"/>
  <c r="B1085" i="13" s="1"/>
  <c r="B1086" i="13" s="1"/>
  <c r="B1087" i="13" s="1"/>
  <c r="B1088" i="13" s="1"/>
  <c r="B1089" i="13" s="1"/>
  <c r="B1090" i="13" s="1"/>
  <c r="B1091" i="13" s="1"/>
  <c r="B1092" i="13" s="1"/>
  <c r="B1093" i="13" s="1"/>
  <c r="B1094" i="13" s="1"/>
  <c r="B1095" i="13" s="1"/>
  <c r="B1096" i="13" s="1"/>
  <c r="B1097" i="13" s="1"/>
  <c r="B1098" i="13" s="1"/>
  <c r="B1099" i="13" s="1"/>
  <c r="B1100" i="13" s="1"/>
  <c r="B1101" i="13" s="1"/>
  <c r="B1102" i="13" s="1"/>
  <c r="B1103" i="13" s="1"/>
  <c r="B1104" i="13" s="1"/>
  <c r="B1105" i="13" s="1"/>
  <c r="B1106" i="13" s="1"/>
  <c r="B1107" i="13" s="1"/>
  <c r="B1108" i="13" s="1"/>
  <c r="B1109" i="13" s="1"/>
  <c r="B1110" i="13" s="1"/>
  <c r="B1111" i="13" s="1"/>
  <c r="B1112" i="13" s="1"/>
  <c r="B1113" i="13" s="1"/>
  <c r="B1114" i="13" s="1"/>
  <c r="B1115" i="13" s="1"/>
  <c r="B1116" i="13" s="1"/>
  <c r="B1117" i="13" s="1"/>
  <c r="B1118" i="13" s="1"/>
  <c r="B1119" i="13" s="1"/>
  <c r="B1120" i="13" s="1"/>
  <c r="B1121" i="13" s="1"/>
  <c r="B1122" i="13" s="1"/>
  <c r="B1123" i="13" s="1"/>
  <c r="B1124" i="13" s="1"/>
  <c r="B1125" i="13" s="1"/>
  <c r="B1126" i="13" s="1"/>
  <c r="B1127" i="13" s="1"/>
  <c r="B1128" i="13" s="1"/>
  <c r="B1129" i="13" s="1"/>
  <c r="B1130" i="13" s="1"/>
  <c r="B1131" i="13" s="1"/>
  <c r="B1132" i="13" s="1"/>
  <c r="B1133" i="13" s="1"/>
  <c r="B1134" i="13" s="1"/>
  <c r="B1135" i="13" s="1"/>
  <c r="B1136" i="13" s="1"/>
  <c r="B1137" i="13" s="1"/>
  <c r="B1138" i="13" s="1"/>
  <c r="B1139" i="13" s="1"/>
  <c r="B1140" i="13" s="1"/>
  <c r="B1141" i="13" s="1"/>
  <c r="B1142" i="13" s="1"/>
  <c r="B1143" i="13" s="1"/>
  <c r="B1144" i="13" s="1"/>
  <c r="B1145" i="13" s="1"/>
  <c r="B1146" i="13" s="1"/>
  <c r="B1147" i="13" s="1"/>
  <c r="B1148" i="13" s="1"/>
  <c r="B1149" i="13" s="1"/>
  <c r="B1150" i="13" s="1"/>
  <c r="B1151" i="13" s="1"/>
  <c r="B1152" i="13" s="1"/>
  <c r="B1153" i="13" s="1"/>
  <c r="B1154" i="13" s="1"/>
  <c r="B1155" i="13" s="1"/>
  <c r="B1156" i="13" s="1"/>
  <c r="B1157" i="13" s="1"/>
  <c r="B1158" i="13" s="1"/>
  <c r="B1159" i="13" s="1"/>
  <c r="B1160" i="13" s="1"/>
  <c r="B1161" i="13" s="1"/>
  <c r="B1162" i="13" s="1"/>
  <c r="B1163" i="13" s="1"/>
  <c r="B1164" i="13" s="1"/>
  <c r="B1165" i="13" s="1"/>
  <c r="B1166" i="13" s="1"/>
  <c r="B1167" i="13" s="1"/>
  <c r="B1168" i="13" s="1"/>
  <c r="B1169" i="13" s="1"/>
  <c r="B1170" i="13" s="1"/>
  <c r="B1171" i="13" s="1"/>
  <c r="B1172" i="13" s="1"/>
  <c r="B1173" i="13" s="1"/>
  <c r="B1174" i="13" s="1"/>
  <c r="B1175" i="13" s="1"/>
  <c r="B1176" i="13" s="1"/>
  <c r="B1177" i="13" s="1"/>
  <c r="B1178" i="13" s="1"/>
  <c r="B1179" i="13" s="1"/>
  <c r="B1180" i="13" s="1"/>
  <c r="B1181" i="13" s="1"/>
  <c r="B1182" i="13" s="1"/>
  <c r="B1183" i="13" s="1"/>
  <c r="B1184" i="13" s="1"/>
  <c r="B1185" i="13" s="1"/>
  <c r="B1186" i="13" s="1"/>
  <c r="B1187" i="13" s="1"/>
  <c r="B1188" i="13" s="1"/>
  <c r="B1189" i="13" s="1"/>
  <c r="B1190" i="13" s="1"/>
  <c r="B1191" i="13" s="1"/>
  <c r="B1192" i="13" s="1"/>
  <c r="B1193" i="13" s="1"/>
  <c r="B1194" i="13" s="1"/>
  <c r="B1195" i="13" s="1"/>
  <c r="B1196" i="13" s="1"/>
  <c r="B1197" i="13" s="1"/>
  <c r="B1198" i="13" s="1"/>
  <c r="B1199" i="13" s="1"/>
  <c r="B1200" i="13" s="1"/>
  <c r="B1201" i="13" s="1"/>
  <c r="B1202" i="13" s="1"/>
  <c r="B1203" i="13" s="1"/>
  <c r="B1204" i="13" s="1"/>
  <c r="B1205" i="13" s="1"/>
  <c r="B1206" i="13" s="1"/>
  <c r="B1207" i="13" s="1"/>
  <c r="B1208" i="13" s="1"/>
  <c r="B1209" i="13" s="1"/>
  <c r="B1210" i="13" s="1"/>
  <c r="B1211" i="13" s="1"/>
  <c r="B1212" i="13" s="1"/>
  <c r="B1213" i="13" s="1"/>
  <c r="B1214" i="13" s="1"/>
  <c r="B1215" i="13" s="1"/>
  <c r="B1216" i="13" s="1"/>
  <c r="B1217" i="13" s="1"/>
  <c r="B1218" i="13" s="1"/>
  <c r="B1219" i="13" s="1"/>
  <c r="B1220" i="13" s="1"/>
  <c r="B1221" i="13" s="1"/>
  <c r="B1222" i="13" s="1"/>
  <c r="B1223" i="13" s="1"/>
  <c r="B1224" i="13" s="1"/>
  <c r="B1225" i="13" s="1"/>
  <c r="B1226" i="13" s="1"/>
  <c r="B1227" i="13" s="1"/>
  <c r="B1228" i="13" s="1"/>
  <c r="B1229" i="13" s="1"/>
  <c r="B1230" i="13" s="1"/>
  <c r="B1231" i="13" s="1"/>
  <c r="B1232" i="13" s="1"/>
  <c r="B1233" i="13" s="1"/>
  <c r="B1234" i="13" s="1"/>
  <c r="B1235" i="13" s="1"/>
  <c r="B1236" i="13" s="1"/>
  <c r="B1237" i="13" s="1"/>
  <c r="B1238" i="13" s="1"/>
  <c r="B1239" i="13" s="1"/>
  <c r="B1240" i="13" s="1"/>
  <c r="B1241" i="13" s="1"/>
  <c r="B1242" i="13" s="1"/>
  <c r="B1243" i="13" s="1"/>
  <c r="B1244" i="13" s="1"/>
  <c r="B1245" i="13" s="1"/>
  <c r="B1246" i="13" s="1"/>
  <c r="B1247" i="13" s="1"/>
  <c r="B1248" i="13" s="1"/>
  <c r="B1249" i="13" s="1"/>
  <c r="B1250" i="13" s="1"/>
  <c r="B1251" i="13" s="1"/>
  <c r="B1252" i="13" s="1"/>
  <c r="B1253" i="13" s="1"/>
  <c r="B1254" i="13" s="1"/>
  <c r="B1255" i="13" s="1"/>
  <c r="B1256" i="13" s="1"/>
  <c r="B1257" i="13" s="1"/>
  <c r="B1258" i="13" s="1"/>
  <c r="B1259" i="13" s="1"/>
  <c r="B1260" i="13" s="1"/>
  <c r="B1261" i="13" s="1"/>
  <c r="B1262" i="13" s="1"/>
  <c r="B1263" i="13" s="1"/>
  <c r="B1264" i="13" s="1"/>
  <c r="B1265" i="13" s="1"/>
  <c r="B1266" i="13" s="1"/>
  <c r="B1267" i="13" s="1"/>
  <c r="B1268" i="13" s="1"/>
  <c r="B1269" i="13" s="1"/>
  <c r="B1270" i="13" s="1"/>
  <c r="B1271" i="13" s="1"/>
  <c r="B1272" i="13" s="1"/>
  <c r="B1273" i="13" s="1"/>
  <c r="B1274" i="13" s="1"/>
  <c r="B1275" i="13" s="1"/>
  <c r="B1276" i="13" s="1"/>
  <c r="B1277" i="13" s="1"/>
  <c r="B1278" i="13" s="1"/>
  <c r="B1279" i="13" s="1"/>
  <c r="B1280" i="13" s="1"/>
  <c r="B1281" i="13" s="1"/>
  <c r="B1282" i="13" s="1"/>
  <c r="B1283" i="13" s="1"/>
  <c r="B1284" i="13" s="1"/>
  <c r="B1285" i="13" s="1"/>
  <c r="B1286" i="13" s="1"/>
  <c r="B1287" i="13" s="1"/>
  <c r="B1288" i="13" s="1"/>
  <c r="B1289" i="13" s="1"/>
  <c r="B1290" i="13" s="1"/>
  <c r="B1291" i="13" s="1"/>
  <c r="B1292" i="13" s="1"/>
  <c r="B1293" i="13" s="1"/>
  <c r="B1294" i="13" s="1"/>
  <c r="B1295" i="13" s="1"/>
  <c r="B1296" i="13" s="1"/>
  <c r="B1297" i="13" s="1"/>
  <c r="B1298" i="13" s="1"/>
  <c r="B1299" i="13" s="1"/>
  <c r="B1300" i="13" s="1"/>
  <c r="B1301" i="13" s="1"/>
  <c r="B1302" i="13" s="1"/>
  <c r="B1303" i="13" s="1"/>
  <c r="B1304" i="13" s="1"/>
  <c r="B1305" i="13" s="1"/>
  <c r="B1306" i="13" s="1"/>
  <c r="B1307" i="13" s="1"/>
  <c r="B1308" i="13" s="1"/>
  <c r="B1309" i="13" s="1"/>
  <c r="B1310" i="13" s="1"/>
  <c r="B1311" i="13" s="1"/>
  <c r="B1312" i="13" s="1"/>
  <c r="B1313" i="13" s="1"/>
  <c r="B1314" i="13" s="1"/>
  <c r="B1315" i="13" s="1"/>
  <c r="B1316" i="13" s="1"/>
  <c r="B1317" i="13" s="1"/>
  <c r="B1318" i="13" s="1"/>
  <c r="B1319" i="13" s="1"/>
  <c r="B1320" i="13" s="1"/>
  <c r="B1321" i="13" s="1"/>
  <c r="B1322" i="13" s="1"/>
  <c r="B1323" i="13" s="1"/>
  <c r="B1324" i="13" s="1"/>
  <c r="B1325" i="13" s="1"/>
  <c r="B1326" i="13" s="1"/>
  <c r="B1327" i="13" s="1"/>
  <c r="B1328" i="13" s="1"/>
  <c r="B1329" i="13" s="1"/>
  <c r="B1330" i="13" s="1"/>
  <c r="B1331" i="13" s="1"/>
  <c r="B1332" i="13" s="1"/>
  <c r="B1333" i="13" s="1"/>
  <c r="B1334" i="13" s="1"/>
  <c r="B1335" i="13" s="1"/>
  <c r="B1336" i="13" s="1"/>
  <c r="B1337" i="13" s="1"/>
  <c r="B1338" i="13" s="1"/>
  <c r="B1339" i="13" s="1"/>
  <c r="B1340" i="13" s="1"/>
  <c r="B1341" i="13" s="1"/>
  <c r="B1342" i="13" s="1"/>
  <c r="B1343" i="13" s="1"/>
  <c r="B1344" i="13" s="1"/>
  <c r="B1345" i="13" s="1"/>
  <c r="B1346" i="13" s="1"/>
  <c r="B1347" i="13" s="1"/>
  <c r="B1348" i="13" s="1"/>
  <c r="B1349" i="13" s="1"/>
  <c r="B1350" i="13" s="1"/>
  <c r="B1351" i="13" s="1"/>
  <c r="B1352" i="13" s="1"/>
  <c r="B1353" i="13" s="1"/>
  <c r="B1354" i="13" s="1"/>
  <c r="B1355" i="13" s="1"/>
  <c r="B1356" i="13" s="1"/>
  <c r="B1357" i="13" s="1"/>
  <c r="B1358" i="13" s="1"/>
  <c r="B1359" i="13" s="1"/>
  <c r="B1360" i="13" s="1"/>
  <c r="B1361" i="13" s="1"/>
  <c r="B1362" i="13" s="1"/>
  <c r="B1363" i="13" s="1"/>
  <c r="B1364" i="13" s="1"/>
  <c r="B1365" i="13" s="1"/>
  <c r="B1366" i="13" s="1"/>
  <c r="B1367" i="13" s="1"/>
  <c r="B1368" i="13" s="1"/>
  <c r="B1369" i="13" s="1"/>
  <c r="B1370" i="13" s="1"/>
  <c r="B1371" i="13" s="1"/>
  <c r="B1372" i="13" s="1"/>
  <c r="B1373" i="13" s="1"/>
  <c r="B1374" i="13" s="1"/>
  <c r="B1375" i="13" s="1"/>
  <c r="B1376" i="13" s="1"/>
  <c r="B1377" i="13" s="1"/>
  <c r="B1378" i="13" s="1"/>
  <c r="B1379" i="13" s="1"/>
  <c r="B1380" i="13" s="1"/>
  <c r="B1381" i="13" s="1"/>
  <c r="B1382" i="13" s="1"/>
  <c r="B1383" i="13" s="1"/>
  <c r="B1384" i="13" s="1"/>
  <c r="B1385" i="13" s="1"/>
  <c r="B1386" i="13" s="1"/>
  <c r="B1387" i="13" s="1"/>
  <c r="B1388" i="13" s="1"/>
  <c r="B1389" i="13" s="1"/>
  <c r="B1390" i="13" s="1"/>
  <c r="B1391" i="13" s="1"/>
  <c r="B1392" i="13" s="1"/>
  <c r="B1393" i="13" s="1"/>
  <c r="B1394" i="13" s="1"/>
  <c r="B1395" i="13" s="1"/>
  <c r="B1396" i="13" s="1"/>
  <c r="B1397" i="13" s="1"/>
  <c r="B1398" i="13" s="1"/>
  <c r="B1399" i="13" s="1"/>
  <c r="B1400" i="13" s="1"/>
  <c r="B1401" i="13" s="1"/>
  <c r="B1402" i="13" s="1"/>
  <c r="B1403" i="13" s="1"/>
  <c r="B1404" i="13" s="1"/>
  <c r="B1405" i="13" s="1"/>
  <c r="B1406" i="13" s="1"/>
  <c r="B1407" i="13" s="1"/>
  <c r="B1408" i="13" s="1"/>
  <c r="B1409" i="13" s="1"/>
  <c r="B1410" i="13" s="1"/>
  <c r="B1411" i="13" s="1"/>
  <c r="B1412" i="13" s="1"/>
  <c r="B1413" i="13" s="1"/>
  <c r="B1414" i="13" s="1"/>
  <c r="B1415" i="13" s="1"/>
  <c r="B1416" i="13" s="1"/>
  <c r="B1417" i="13" s="1"/>
  <c r="B1418" i="13" s="1"/>
  <c r="B1419" i="13" s="1"/>
  <c r="B1420" i="13" s="1"/>
  <c r="B1421" i="13" s="1"/>
  <c r="B1422" i="13" s="1"/>
  <c r="B1423" i="13" s="1"/>
  <c r="B1424" i="13" s="1"/>
  <c r="B1425" i="13" s="1"/>
  <c r="B1426" i="13" s="1"/>
  <c r="B1427" i="13" s="1"/>
  <c r="B1428" i="13" s="1"/>
  <c r="B1429" i="13" s="1"/>
  <c r="B1430" i="13" s="1"/>
  <c r="B1431" i="13" s="1"/>
  <c r="B1432" i="13" s="1"/>
  <c r="B1433" i="13" s="1"/>
  <c r="B1434" i="13" s="1"/>
  <c r="B1435" i="13" s="1"/>
  <c r="B1436" i="13" s="1"/>
  <c r="B1437" i="13" s="1"/>
  <c r="B1438" i="13" s="1"/>
  <c r="B1439" i="13" s="1"/>
  <c r="B1440" i="13" s="1"/>
  <c r="B1441" i="13" s="1"/>
  <c r="B1442" i="13" s="1"/>
  <c r="B1443" i="13" s="1"/>
  <c r="B1444" i="13" s="1"/>
  <c r="B1445" i="13" s="1"/>
  <c r="B1446" i="13" s="1"/>
  <c r="B1447" i="13" s="1"/>
  <c r="B1448" i="13" s="1"/>
  <c r="B1449" i="13" s="1"/>
  <c r="B1450" i="13" s="1"/>
  <c r="B1451" i="13" s="1"/>
  <c r="B1452" i="13" s="1"/>
  <c r="B1453" i="13" s="1"/>
  <c r="B1454" i="13" s="1"/>
  <c r="B1455" i="13" s="1"/>
  <c r="B1456" i="13" s="1"/>
  <c r="B1457" i="13" s="1"/>
  <c r="B1458" i="13" s="1"/>
  <c r="B1459" i="13" s="1"/>
  <c r="B1460" i="13" s="1"/>
  <c r="B1461" i="13" s="1"/>
  <c r="B1462" i="13" s="1"/>
  <c r="B1463" i="13" s="1"/>
  <c r="B1464" i="13" s="1"/>
  <c r="B1465" i="13" s="1"/>
  <c r="B1466" i="13" s="1"/>
  <c r="B1467" i="13" s="1"/>
  <c r="B1468" i="13" s="1"/>
  <c r="B1469" i="13" s="1"/>
  <c r="B1470" i="13" s="1"/>
  <c r="B1471" i="13" s="1"/>
  <c r="B1472" i="13" s="1"/>
  <c r="B1473" i="13" s="1"/>
  <c r="B1474" i="13" s="1"/>
  <c r="B1475" i="13" s="1"/>
  <c r="B1476" i="13" s="1"/>
  <c r="B1477" i="13" s="1"/>
  <c r="B1478" i="13" s="1"/>
  <c r="B1479" i="13" s="1"/>
  <c r="B1480" i="13" s="1"/>
  <c r="B1481" i="13" s="1"/>
  <c r="B1482" i="13" s="1"/>
  <c r="B1483" i="13" s="1"/>
  <c r="B1484" i="13" s="1"/>
  <c r="B1485" i="13" s="1"/>
  <c r="B1486" i="13" s="1"/>
  <c r="B1487" i="13" s="1"/>
  <c r="B1488" i="13" s="1"/>
  <c r="B1489" i="13" s="1"/>
  <c r="B1490" i="13" s="1"/>
  <c r="B1491" i="13" s="1"/>
  <c r="B1492" i="13" s="1"/>
  <c r="B1493" i="13" s="1"/>
  <c r="B1494" i="13" s="1"/>
  <c r="B1495" i="13" s="1"/>
  <c r="B1496" i="13" s="1"/>
  <c r="B1497" i="13" s="1"/>
  <c r="B1498" i="13" s="1"/>
  <c r="B1499" i="13" s="1"/>
  <c r="B1500" i="13" s="1"/>
  <c r="B1501" i="13" s="1"/>
  <c r="B1502" i="13" s="1"/>
  <c r="B1503" i="13" s="1"/>
  <c r="B1504" i="13" s="1"/>
  <c r="B1505" i="13" s="1"/>
  <c r="B1506" i="13" s="1"/>
  <c r="B1507" i="13" s="1"/>
  <c r="B1508" i="13" s="1"/>
  <c r="B1509" i="13" s="1"/>
  <c r="B1510" i="13" s="1"/>
  <c r="B1511" i="13" s="1"/>
  <c r="B1512" i="13" s="1"/>
  <c r="B1513" i="13" s="1"/>
  <c r="B1514" i="13" s="1"/>
  <c r="B1515" i="13" s="1"/>
  <c r="B1516" i="13" s="1"/>
  <c r="B1517" i="13" s="1"/>
  <c r="B1518" i="13" s="1"/>
  <c r="B1519" i="13" s="1"/>
  <c r="B1520" i="13" s="1"/>
  <c r="B1521" i="13" s="1"/>
  <c r="B1522" i="13" s="1"/>
  <c r="B1523" i="13" s="1"/>
  <c r="B1524" i="13" s="1"/>
  <c r="B1525" i="13" s="1"/>
  <c r="B1526" i="13" s="1"/>
  <c r="B1527" i="13" s="1"/>
  <c r="B1528" i="13" s="1"/>
  <c r="B1529" i="13" s="1"/>
  <c r="B1530" i="13" s="1"/>
  <c r="B1531" i="13" s="1"/>
  <c r="B1532" i="13" s="1"/>
  <c r="B1533" i="13" s="1"/>
  <c r="B1534" i="13" s="1"/>
  <c r="B1535" i="13" s="1"/>
  <c r="B1536" i="13" s="1"/>
  <c r="B1537" i="13" s="1"/>
  <c r="B1538" i="13" s="1"/>
  <c r="B1539" i="13" s="1"/>
  <c r="B1540" i="13" s="1"/>
  <c r="B1541" i="13" s="1"/>
  <c r="B1542" i="13" s="1"/>
  <c r="B1543" i="13" s="1"/>
  <c r="B1544" i="13" s="1"/>
  <c r="B1545" i="13" s="1"/>
  <c r="B1546" i="13" s="1"/>
  <c r="B1547" i="13" s="1"/>
  <c r="B1548" i="13" s="1"/>
  <c r="B1549" i="13" s="1"/>
  <c r="B1550" i="13" s="1"/>
  <c r="B1551" i="13" s="1"/>
  <c r="B1552" i="13" s="1"/>
  <c r="B1553" i="13" s="1"/>
  <c r="B1554" i="13" s="1"/>
  <c r="B1555" i="13" s="1"/>
  <c r="B1556" i="13" s="1"/>
  <c r="B1557" i="13" s="1"/>
  <c r="B1558" i="13" s="1"/>
  <c r="B1559" i="13" s="1"/>
  <c r="B1560" i="13" s="1"/>
  <c r="B1561" i="13" s="1"/>
  <c r="B1562" i="13" s="1"/>
  <c r="B1563" i="13" s="1"/>
  <c r="B1564" i="13" s="1"/>
  <c r="B1565" i="13" s="1"/>
  <c r="B1566" i="13" s="1"/>
  <c r="B1567" i="13" s="1"/>
  <c r="B1568" i="13" s="1"/>
  <c r="B1569" i="13" s="1"/>
  <c r="B1570" i="13" s="1"/>
  <c r="B1571" i="13" s="1"/>
  <c r="B1572" i="13" s="1"/>
  <c r="B1573" i="13" s="1"/>
  <c r="B1574" i="13" s="1"/>
  <c r="B1575" i="13" s="1"/>
  <c r="B1576" i="13" s="1"/>
  <c r="B1577" i="13" s="1"/>
  <c r="B1578" i="13" s="1"/>
  <c r="B1579" i="13" s="1"/>
  <c r="B1580" i="13" s="1"/>
  <c r="B1581" i="13" s="1"/>
  <c r="B1582" i="13" s="1"/>
  <c r="B1583" i="13" s="1"/>
  <c r="B1584" i="13" s="1"/>
  <c r="B1585" i="13" s="1"/>
  <c r="B1586" i="13" s="1"/>
  <c r="B1587" i="13" s="1"/>
  <c r="B1588" i="13" s="1"/>
  <c r="B1589" i="13" s="1"/>
  <c r="B1590" i="13" s="1"/>
  <c r="B1591" i="13" s="1"/>
  <c r="B1592" i="13" s="1"/>
  <c r="B1593" i="13" s="1"/>
  <c r="B1594" i="13" s="1"/>
  <c r="B1595" i="13" s="1"/>
  <c r="B1596" i="13" s="1"/>
  <c r="B1597" i="13" s="1"/>
  <c r="B1598" i="13" s="1"/>
  <c r="B1599" i="13" s="1"/>
  <c r="B1600" i="13" s="1"/>
  <c r="B1601" i="13" s="1"/>
  <c r="B1602" i="13" s="1"/>
  <c r="B1603" i="13" s="1"/>
  <c r="B1604" i="13" s="1"/>
  <c r="B1605" i="13" s="1"/>
  <c r="B1606" i="13" s="1"/>
  <c r="B1607" i="13" s="1"/>
  <c r="B1608" i="13" s="1"/>
  <c r="B1609" i="13" s="1"/>
  <c r="B1610" i="13" s="1"/>
  <c r="B1611" i="13" s="1"/>
  <c r="B1612" i="13" s="1"/>
  <c r="B1613" i="13" s="1"/>
  <c r="B1614" i="13" s="1"/>
  <c r="B1615" i="13" s="1"/>
  <c r="B1616" i="13" s="1"/>
  <c r="B1617" i="13" s="1"/>
  <c r="B1618" i="13" s="1"/>
  <c r="B1619" i="13" s="1"/>
  <c r="B1620" i="13" s="1"/>
  <c r="B1621" i="13" s="1"/>
  <c r="B1622" i="13" s="1"/>
  <c r="B1623" i="13" s="1"/>
  <c r="B1624" i="13" s="1"/>
  <c r="B1625" i="13" s="1"/>
  <c r="B1626" i="13" s="1"/>
  <c r="B1627" i="13" s="1"/>
  <c r="B1628" i="13" s="1"/>
  <c r="B1629" i="13" s="1"/>
  <c r="B1630" i="13" s="1"/>
  <c r="B1631" i="13" s="1"/>
  <c r="B1632" i="13" s="1"/>
  <c r="B1633" i="13" s="1"/>
  <c r="B1634" i="13" s="1"/>
  <c r="B1635" i="13" s="1"/>
  <c r="B1636" i="13" s="1"/>
  <c r="B1637" i="13" s="1"/>
  <c r="B1638" i="13" s="1"/>
  <c r="B1639" i="13" s="1"/>
  <c r="B1640" i="13" s="1"/>
  <c r="B1641" i="13" s="1"/>
  <c r="B1642" i="13" s="1"/>
  <c r="B1643" i="13" s="1"/>
  <c r="B1644" i="13" s="1"/>
  <c r="B1645" i="13" s="1"/>
  <c r="B1646" i="13" s="1"/>
  <c r="B1647" i="13" s="1"/>
  <c r="B1648" i="13" s="1"/>
  <c r="B1649" i="13" s="1"/>
  <c r="B1650" i="13" s="1"/>
  <c r="B1651" i="13" s="1"/>
  <c r="B1652" i="13" s="1"/>
  <c r="B1653" i="13" s="1"/>
  <c r="B1654" i="13" s="1"/>
  <c r="B1655" i="13" s="1"/>
  <c r="B1656" i="13" s="1"/>
  <c r="B1657" i="13" s="1"/>
  <c r="B1658" i="13" s="1"/>
  <c r="B1659" i="13" s="1"/>
  <c r="B1660" i="13" s="1"/>
  <c r="B1661" i="13" s="1"/>
  <c r="B1662" i="13" s="1"/>
  <c r="B1663" i="13" s="1"/>
  <c r="B1664" i="13" s="1"/>
  <c r="B1665" i="13" s="1"/>
  <c r="B1666" i="13" s="1"/>
  <c r="B1667" i="13" s="1"/>
  <c r="B1668" i="13" s="1"/>
  <c r="B1669" i="13" s="1"/>
  <c r="B1670" i="13" s="1"/>
  <c r="B1671" i="13" s="1"/>
  <c r="B1672" i="13" s="1"/>
  <c r="B1673" i="13" s="1"/>
  <c r="B1674" i="13" s="1"/>
  <c r="B1675" i="13" s="1"/>
  <c r="B1676" i="13" s="1"/>
  <c r="B1677" i="13" s="1"/>
  <c r="B1678" i="13" s="1"/>
  <c r="B1679" i="13" s="1"/>
  <c r="B1680" i="13" s="1"/>
  <c r="B1681" i="13" s="1"/>
  <c r="B1682" i="13" s="1"/>
  <c r="B1683" i="13" s="1"/>
  <c r="B1684" i="13" s="1"/>
  <c r="B1685" i="13" s="1"/>
  <c r="B1686" i="13" s="1"/>
  <c r="B1687" i="13" s="1"/>
  <c r="B1688" i="13" s="1"/>
  <c r="B1689" i="13" s="1"/>
  <c r="B1690" i="13" s="1"/>
  <c r="B1691" i="13" s="1"/>
  <c r="B1692" i="13" s="1"/>
  <c r="B1693" i="13" s="1"/>
  <c r="B1694" i="13" s="1"/>
  <c r="B1695" i="13" s="1"/>
  <c r="B1696" i="13" s="1"/>
  <c r="B1697" i="13" s="1"/>
  <c r="B1698" i="13" s="1"/>
  <c r="B1699" i="13" s="1"/>
  <c r="B1700" i="13" s="1"/>
  <c r="B1701" i="13" s="1"/>
  <c r="B1702" i="13" s="1"/>
  <c r="B1703" i="13" s="1"/>
  <c r="B1704" i="13" s="1"/>
  <c r="B1705" i="13" s="1"/>
  <c r="B1706" i="13" s="1"/>
  <c r="B1707" i="13" s="1"/>
  <c r="B1708" i="13" s="1"/>
  <c r="B1709" i="13" s="1"/>
  <c r="B1710" i="13" s="1"/>
  <c r="B1711" i="13" s="1"/>
  <c r="B1712" i="13" s="1"/>
  <c r="B1713" i="13" s="1"/>
  <c r="B1714" i="13" s="1"/>
  <c r="B1715" i="13" s="1"/>
  <c r="B1716" i="13" s="1"/>
  <c r="B1717" i="13" s="1"/>
  <c r="B1718" i="13" s="1"/>
  <c r="B1719" i="13" s="1"/>
  <c r="B1720" i="13" s="1"/>
  <c r="B1721" i="13" s="1"/>
  <c r="B1722" i="13" s="1"/>
  <c r="B1723" i="13" s="1"/>
  <c r="B1724" i="13" s="1"/>
  <c r="B1725" i="13" s="1"/>
  <c r="B1726" i="13" s="1"/>
  <c r="B1727" i="13" s="1"/>
  <c r="B1728" i="13" s="1"/>
  <c r="B1729" i="13" s="1"/>
  <c r="B1730" i="13" s="1"/>
  <c r="B1731" i="13" s="1"/>
  <c r="B1732" i="13" s="1"/>
  <c r="B1733" i="13" s="1"/>
  <c r="B1734" i="13" s="1"/>
  <c r="B1735" i="13" s="1"/>
  <c r="B1736" i="13" s="1"/>
  <c r="B5" i="13"/>
  <c r="B6" i="13" s="1"/>
  <c r="B7" i="13"/>
  <c r="J5" i="38"/>
  <c r="V11" i="38" s="1"/>
  <c r="D7" i="7"/>
  <c r="B46" i="23"/>
  <c r="E7" i="11" s="1"/>
  <c r="B45" i="23"/>
  <c r="E35" i="11" s="1"/>
  <c r="B44" i="23"/>
  <c r="E5" i="11" s="1"/>
  <c r="B42" i="23"/>
  <c r="E4" i="11" s="1"/>
  <c r="B43" i="23"/>
  <c r="E3" i="11" s="1"/>
  <c r="B39" i="23"/>
  <c r="E27" i="11" s="1"/>
  <c r="B41" i="23"/>
  <c r="E36" i="11" s="1"/>
  <c r="K8" i="8"/>
  <c r="J8" i="8"/>
  <c r="J7" i="8"/>
  <c r="D8" i="8"/>
  <c r="C8" i="8"/>
  <c r="C7" i="8"/>
  <c r="K7" i="7"/>
  <c r="J7" i="7"/>
  <c r="B37" i="23"/>
  <c r="E23" i="11" s="1"/>
  <c r="B36" i="23"/>
  <c r="E21" i="11" s="1"/>
  <c r="C7" i="7"/>
  <c r="B35" i="23"/>
  <c r="G48" i="1" s="1"/>
  <c r="B22" i="23"/>
  <c r="B34" i="23"/>
  <c r="G47" i="1" s="1"/>
  <c r="B33" i="23"/>
  <c r="C45" i="1" s="1"/>
  <c r="B32" i="23"/>
  <c r="C133" i="1" s="1"/>
  <c r="B31" i="23"/>
  <c r="C132" i="1" s="1"/>
  <c r="B30" i="23"/>
  <c r="G99" i="1" s="1"/>
  <c r="B29" i="23"/>
  <c r="G102" i="1" s="1"/>
  <c r="B28" i="23"/>
  <c r="E100" i="1" s="1"/>
  <c r="B27" i="23"/>
  <c r="E99" i="1" s="1"/>
  <c r="B26" i="23"/>
  <c r="D99" i="1" s="1"/>
  <c r="B23" i="23"/>
  <c r="B25" i="23"/>
  <c r="C56" i="1" s="1"/>
  <c r="B24" i="23"/>
  <c r="B18" i="23"/>
  <c r="D33" i="1" s="1"/>
  <c r="B17" i="23"/>
  <c r="I29" i="1" s="1"/>
  <c r="B16" i="23"/>
  <c r="C27" i="1" s="1"/>
  <c r="B15" i="23"/>
  <c r="C24" i="1" s="1"/>
  <c r="B14" i="23"/>
  <c r="C20" i="1" s="1"/>
  <c r="B13" i="23"/>
  <c r="C18" i="1" s="1"/>
  <c r="B12" i="23"/>
  <c r="I16" i="1" s="1"/>
  <c r="B19" i="23"/>
  <c r="J12" i="1" s="1"/>
  <c r="J4" i="8"/>
  <c r="C4" i="8"/>
  <c r="B9" i="23"/>
  <c r="L6" i="21" s="1"/>
  <c r="V11" i="7"/>
  <c r="V9" i="7"/>
  <c r="B10" i="23"/>
  <c r="L7" i="21" s="1"/>
  <c r="B8" i="23"/>
  <c r="B240" i="25"/>
  <c r="B239" i="25"/>
  <c r="B238" i="25"/>
  <c r="B237" i="25"/>
  <c r="B236" i="25"/>
  <c r="B235" i="25"/>
  <c r="B234" i="25"/>
  <c r="B233" i="25"/>
  <c r="B232" i="25"/>
  <c r="B231" i="25"/>
  <c r="B230" i="25"/>
  <c r="B229" i="25"/>
  <c r="B228" i="25"/>
  <c r="B227" i="25"/>
  <c r="B226" i="25"/>
  <c r="B225" i="25"/>
  <c r="B224" i="25"/>
  <c r="B223" i="25"/>
  <c r="B222" i="25"/>
  <c r="B221" i="25"/>
  <c r="B220" i="25"/>
  <c r="B219" i="25"/>
  <c r="B218" i="25"/>
  <c r="B217" i="25"/>
  <c r="B216" i="25"/>
  <c r="B215" i="25"/>
  <c r="B214" i="25"/>
  <c r="B213" i="25"/>
  <c r="B212" i="25"/>
  <c r="B211" i="25"/>
  <c r="B210" i="25"/>
  <c r="B209" i="25"/>
  <c r="B208" i="25"/>
  <c r="B207" i="25"/>
  <c r="B206" i="25"/>
  <c r="B205" i="25"/>
  <c r="B204" i="25"/>
  <c r="B203" i="25"/>
  <c r="B202" i="25"/>
  <c r="B201" i="25"/>
  <c r="A2" i="25"/>
  <c r="A3" i="25"/>
  <c r="A4" i="25"/>
  <c r="A5" i="25" s="1"/>
  <c r="A6" i="25" s="1"/>
  <c r="B185" i="25"/>
  <c r="B186" i="25"/>
  <c r="B187" i="25"/>
  <c r="B188" i="25"/>
  <c r="B189" i="25"/>
  <c r="B190" i="25"/>
  <c r="B191" i="25"/>
  <c r="B192" i="25"/>
  <c r="B193" i="25"/>
  <c r="B194" i="25"/>
  <c r="B195" i="25"/>
  <c r="B196" i="25"/>
  <c r="B197" i="25"/>
  <c r="B198" i="25"/>
  <c r="B199" i="25"/>
  <c r="B200" i="25"/>
  <c r="B184" i="25"/>
  <c r="B183" i="25"/>
  <c r="B182" i="25"/>
  <c r="B181" i="25"/>
  <c r="B180" i="25"/>
  <c r="B179" i="25"/>
  <c r="B178" i="25"/>
  <c r="B177" i="25"/>
  <c r="B176" i="25"/>
  <c r="B175" i="25"/>
  <c r="B174" i="25"/>
  <c r="B173" i="25"/>
  <c r="B172" i="25"/>
  <c r="B171" i="25"/>
  <c r="B170" i="25"/>
  <c r="B169" i="25"/>
  <c r="B168" i="25"/>
  <c r="B167" i="25"/>
  <c r="B166" i="25"/>
  <c r="B165" i="25"/>
  <c r="B164" i="25"/>
  <c r="B163" i="25"/>
  <c r="B162" i="25"/>
  <c r="B161" i="25"/>
  <c r="B160" i="25"/>
  <c r="B159" i="25"/>
  <c r="B158" i="25"/>
  <c r="B157" i="25"/>
  <c r="B156" i="25"/>
  <c r="B155" i="25"/>
  <c r="B154" i="25"/>
  <c r="B153" i="25"/>
  <c r="B152" i="25"/>
  <c r="B151" i="25"/>
  <c r="B150" i="25"/>
  <c r="B149" i="25"/>
  <c r="B148" i="25"/>
  <c r="B147" i="25"/>
  <c r="B146" i="25"/>
  <c r="B145" i="25"/>
  <c r="B144" i="25"/>
  <c r="B143" i="25"/>
  <c r="B142" i="25"/>
  <c r="B141" i="25"/>
  <c r="B140" i="25"/>
  <c r="B139" i="25"/>
  <c r="B138" i="25"/>
  <c r="B137" i="25"/>
  <c r="B136" i="25"/>
  <c r="B135" i="25"/>
  <c r="B134" i="25"/>
  <c r="B133" i="25"/>
  <c r="B132" i="25"/>
  <c r="B131" i="25"/>
  <c r="B130" i="25"/>
  <c r="B129" i="25"/>
  <c r="B128" i="25"/>
  <c r="B127" i="25"/>
  <c r="B126" i="25"/>
  <c r="B125" i="25"/>
  <c r="B124" i="25"/>
  <c r="B123" i="25"/>
  <c r="B122" i="25"/>
  <c r="B121" i="25"/>
  <c r="B120" i="25"/>
  <c r="B119" i="25"/>
  <c r="B118" i="25"/>
  <c r="B117" i="25"/>
  <c r="B116" i="25"/>
  <c r="B115" i="25"/>
  <c r="B114" i="25"/>
  <c r="B113" i="25"/>
  <c r="B112" i="25"/>
  <c r="B111" i="25"/>
  <c r="B110" i="25"/>
  <c r="B109" i="25"/>
  <c r="B108" i="25"/>
  <c r="B107" i="25"/>
  <c r="B106" i="25"/>
  <c r="B105" i="25"/>
  <c r="B104" i="25"/>
  <c r="B103" i="25"/>
  <c r="B102" i="25"/>
  <c r="B101" i="25"/>
  <c r="B100" i="25"/>
  <c r="B99" i="25"/>
  <c r="B98" i="25"/>
  <c r="B97" i="25"/>
  <c r="B96" i="25"/>
  <c r="B95" i="25"/>
  <c r="B94" i="25"/>
  <c r="B93" i="25"/>
  <c r="B92" i="25"/>
  <c r="B91" i="25"/>
  <c r="B90" i="25"/>
  <c r="B89" i="25"/>
  <c r="B88" i="25"/>
  <c r="B87" i="25"/>
  <c r="B86" i="25"/>
  <c r="B85" i="25"/>
  <c r="B84" i="25"/>
  <c r="B83" i="25"/>
  <c r="B82" i="25"/>
  <c r="B81" i="25"/>
  <c r="B80" i="25"/>
  <c r="B79" i="25"/>
  <c r="B78" i="25"/>
  <c r="B77" i="25"/>
  <c r="B76" i="25"/>
  <c r="B75" i="25"/>
  <c r="B74" i="25"/>
  <c r="B73" i="25"/>
  <c r="B72" i="25"/>
  <c r="B71" i="25"/>
  <c r="B70" i="25"/>
  <c r="B69" i="25"/>
  <c r="B68" i="25"/>
  <c r="B67" i="25"/>
  <c r="B66" i="25"/>
  <c r="B65" i="25"/>
  <c r="B64" i="25"/>
  <c r="B63" i="25"/>
  <c r="B62" i="25"/>
  <c r="B61" i="25"/>
  <c r="B60" i="25"/>
  <c r="B59" i="25"/>
  <c r="B58" i="25"/>
  <c r="B57" i="25"/>
  <c r="B56" i="25"/>
  <c r="B55" i="25"/>
  <c r="B54" i="25"/>
  <c r="B53" i="25"/>
  <c r="B34" i="25"/>
  <c r="B33" i="25"/>
  <c r="B32" i="25"/>
  <c r="B31" i="25"/>
  <c r="B30" i="25"/>
  <c r="B29" i="25"/>
  <c r="B28" i="25"/>
  <c r="B52" i="25"/>
  <c r="B51" i="25"/>
  <c r="B50" i="25"/>
  <c r="B49" i="25"/>
  <c r="B48" i="25"/>
  <c r="B47" i="25"/>
  <c r="B46" i="25"/>
  <c r="B45" i="25"/>
  <c r="B44" i="25"/>
  <c r="B43" i="25"/>
  <c r="B42" i="25"/>
  <c r="B41" i="25"/>
  <c r="B40" i="25"/>
  <c r="B39" i="25"/>
  <c r="B38" i="25"/>
  <c r="B37" i="25"/>
  <c r="B36" i="25"/>
  <c r="B35" i="25"/>
  <c r="B27" i="25"/>
  <c r="F8" i="22"/>
  <c r="F9" i="22" s="1"/>
  <c r="F10" i="22" s="1"/>
  <c r="F11" i="22" s="1"/>
  <c r="F12" i="22" s="1"/>
  <c r="F13" i="22" s="1"/>
  <c r="F14" i="22" s="1"/>
  <c r="F15" i="22" s="1"/>
  <c r="F16" i="22" s="1"/>
  <c r="F17" i="22" s="1"/>
  <c r="F18" i="22" s="1"/>
  <c r="F19" i="22" s="1"/>
  <c r="F20" i="22" s="1"/>
  <c r="F21" i="22" s="1"/>
  <c r="F22" i="22" s="1"/>
  <c r="F23" i="22" s="1"/>
  <c r="F24" i="22" s="1"/>
  <c r="F25" i="22" s="1"/>
  <c r="F26" i="22" s="1"/>
  <c r="F27" i="22" s="1"/>
  <c r="F28" i="22" s="1"/>
  <c r="F29" i="22" s="1"/>
  <c r="F30" i="22" s="1"/>
  <c r="F31" i="22" s="1"/>
  <c r="F32" i="22" s="1"/>
  <c r="F33" i="22" s="1"/>
  <c r="F34" i="22" s="1"/>
  <c r="F35" i="22" s="1"/>
  <c r="F36" i="22" s="1"/>
  <c r="F37" i="22" s="1"/>
  <c r="F38" i="22" s="1"/>
  <c r="F39" i="22" s="1"/>
  <c r="F40" i="22" s="1"/>
  <c r="F41" i="22" s="1"/>
  <c r="F42" i="22" s="1"/>
  <c r="F43" i="22" s="1"/>
  <c r="F44" i="22" s="1"/>
  <c r="F45" i="22" s="1"/>
  <c r="F46" i="22" s="1"/>
  <c r="C39" i="10"/>
  <c r="C14" i="10"/>
  <c r="D6" i="39" l="1"/>
  <c r="C4" i="22"/>
  <c r="E4" i="22"/>
  <c r="C5" i="30"/>
  <c r="J17" i="1"/>
  <c r="D17" i="1"/>
  <c r="J80" i="1"/>
  <c r="D78" i="1"/>
  <c r="L80" i="1"/>
  <c r="G80" i="1"/>
  <c r="E80" i="1"/>
  <c r="F80" i="1"/>
  <c r="I80" i="1"/>
  <c r="C62" i="1"/>
  <c r="K80" i="1"/>
  <c r="F51" i="1"/>
  <c r="D80" i="1"/>
  <c r="O65" i="13"/>
  <c r="M65" i="13"/>
  <c r="K65" i="13"/>
  <c r="I65" i="13"/>
  <c r="C5" i="28"/>
  <c r="J23" i="12"/>
  <c r="J176" i="12"/>
  <c r="J164" i="12"/>
  <c r="J182" i="12"/>
  <c r="J173" i="12"/>
  <c r="J160" i="12"/>
  <c r="J179" i="12"/>
  <c r="J166" i="12"/>
  <c r="J177" i="12"/>
  <c r="J183" i="12"/>
  <c r="J175" i="12"/>
  <c r="J163" i="12"/>
  <c r="J174" i="12"/>
  <c r="J162" i="12"/>
  <c r="J181" i="12"/>
  <c r="J161" i="12"/>
  <c r="J168" i="12"/>
  <c r="J167" i="12"/>
  <c r="J178" i="12"/>
  <c r="J165" i="12"/>
  <c r="J180" i="12"/>
  <c r="J159" i="12"/>
  <c r="P65" i="13"/>
  <c r="N65" i="13"/>
  <c r="L65" i="13"/>
  <c r="J65" i="13"/>
  <c r="C7" i="40"/>
  <c r="D5" i="26"/>
  <c r="A5" i="24"/>
  <c r="A7" i="25"/>
  <c r="A8" i="25" s="1"/>
  <c r="A9" i="25" s="1"/>
  <c r="A10" i="25" s="1"/>
  <c r="I4" i="25"/>
  <c r="E5" i="41"/>
  <c r="E5" i="26"/>
  <c r="O45" i="13"/>
  <c r="E5" i="28"/>
  <c r="C5" i="41"/>
  <c r="J54" i="12"/>
  <c r="D100" i="1"/>
  <c r="P45" i="13"/>
  <c r="E59" i="37"/>
  <c r="D5" i="29"/>
  <c r="D5" i="28"/>
  <c r="G2" i="28"/>
  <c r="E22" i="40"/>
  <c r="A5" i="28"/>
  <c r="A7" i="26"/>
  <c r="A5" i="26"/>
  <c r="E7" i="40"/>
  <c r="D22" i="40"/>
  <c r="C5" i="26"/>
  <c r="B4" i="26"/>
  <c r="A9" i="26"/>
  <c r="A8" i="26"/>
  <c r="G3" i="26"/>
  <c r="J3" i="32"/>
  <c r="O3" i="32"/>
  <c r="H3" i="32"/>
  <c r="L3" i="32"/>
  <c r="N3" i="32"/>
  <c r="C22" i="40"/>
  <c r="AB4" i="22"/>
  <c r="I3" i="32"/>
  <c r="AD4" i="22"/>
  <c r="K3" i="32"/>
  <c r="C5" i="29"/>
  <c r="E5" i="29"/>
  <c r="F22" i="40"/>
  <c r="A5" i="29"/>
  <c r="L4" i="21"/>
  <c r="D5" i="10" s="1"/>
  <c r="J21" i="12"/>
  <c r="B3" i="35"/>
  <c r="B4" i="22"/>
  <c r="C3" i="35"/>
  <c r="D3" i="35"/>
  <c r="G7" i="40"/>
  <c r="Q5" i="7"/>
  <c r="O5" i="7"/>
  <c r="P5" i="7"/>
  <c r="D5" i="41"/>
  <c r="G2" i="41"/>
  <c r="A5" i="41"/>
  <c r="G2" i="30"/>
  <c r="F7" i="40"/>
  <c r="A5" i="30"/>
  <c r="E5" i="30"/>
  <c r="D5" i="30"/>
  <c r="G2" i="24"/>
  <c r="T6" i="30"/>
  <c r="O12" i="8"/>
  <c r="N45" i="13"/>
  <c r="L7" i="22"/>
  <c r="J8" i="12"/>
  <c r="J6" i="12"/>
  <c r="J49" i="12"/>
  <c r="J43" i="12"/>
  <c r="J36" i="12"/>
  <c r="J57" i="12"/>
  <c r="J12" i="12"/>
  <c r="J52" i="12"/>
  <c r="J22" i="12"/>
  <c r="F5" i="38"/>
  <c r="J35" i="12"/>
  <c r="J51" i="12"/>
  <c r="J27" i="12"/>
  <c r="J14" i="12"/>
  <c r="J26" i="12"/>
  <c r="J34" i="12"/>
  <c r="J20" i="12"/>
  <c r="J38" i="12"/>
  <c r="J16" i="12"/>
  <c r="J40" i="12"/>
  <c r="J13" i="12"/>
  <c r="J58" i="12"/>
  <c r="J50" i="12"/>
  <c r="J53" i="12"/>
  <c r="J42" i="12"/>
  <c r="J55" i="12"/>
  <c r="J10" i="12"/>
  <c r="J29" i="12"/>
  <c r="J11" i="12"/>
  <c r="J28" i="12"/>
  <c r="J24" i="12"/>
  <c r="J56" i="12"/>
  <c r="I25" i="8"/>
  <c r="J30" i="12"/>
  <c r="J37" i="12"/>
  <c r="J15" i="12"/>
  <c r="J25" i="12"/>
  <c r="J7" i="12"/>
  <c r="J39" i="12"/>
  <c r="C16" i="1"/>
  <c r="J41" i="12"/>
  <c r="J44" i="12"/>
  <c r="J9" i="12"/>
  <c r="J48" i="12"/>
  <c r="B21" i="27"/>
  <c r="O24" i="8"/>
  <c r="O13" i="8"/>
  <c r="B9" i="8"/>
  <c r="O23" i="8"/>
  <c r="P6" i="33"/>
  <c r="S6" i="30"/>
  <c r="R6" i="30"/>
  <c r="I9" i="8"/>
  <c r="Q6" i="33"/>
  <c r="B7" i="33"/>
  <c r="D3" i="33" s="1"/>
  <c r="D16" i="40" s="1"/>
  <c r="Q7" i="22"/>
  <c r="R2" i="22" s="1"/>
  <c r="C16" i="40" s="1"/>
  <c r="B24" i="27"/>
  <c r="B8" i="8"/>
  <c r="B7" i="8"/>
  <c r="I8" i="8"/>
  <c r="I27" i="1"/>
  <c r="I7" i="8"/>
  <c r="J45" i="13"/>
  <c r="L23" i="22"/>
  <c r="L45" i="13"/>
  <c r="B25" i="8"/>
  <c r="L24" i="22"/>
  <c r="E6" i="11"/>
  <c r="N14" i="8"/>
  <c r="G7" i="22"/>
  <c r="O6" i="27"/>
  <c r="D2" i="27" s="1"/>
  <c r="C3" i="36"/>
  <c r="E16" i="40"/>
  <c r="B3" i="36"/>
  <c r="B3" i="31"/>
  <c r="F19" i="40" s="1"/>
  <c r="W2" i="22"/>
  <c r="I24" i="1"/>
  <c r="K6" i="29"/>
  <c r="D2" i="29" s="1"/>
  <c r="I45" i="13"/>
  <c r="O6" i="41"/>
  <c r="M45" i="13"/>
  <c r="P6" i="41"/>
  <c r="T8" i="7"/>
  <c r="K45" i="13"/>
  <c r="C29" i="1"/>
  <c r="B7" i="7"/>
  <c r="I14" i="1"/>
  <c r="I20" i="1"/>
  <c r="E22" i="11"/>
  <c r="I8" i="7"/>
  <c r="T7" i="7"/>
  <c r="D12" i="1"/>
  <c r="I18" i="1"/>
  <c r="K6" i="24"/>
  <c r="D2" i="24" s="1"/>
  <c r="B8" i="7"/>
  <c r="I7" i="7"/>
  <c r="O6" i="28"/>
  <c r="D2" i="28" s="1"/>
  <c r="N13" i="8"/>
  <c r="G8" i="22"/>
  <c r="D42" i="21"/>
  <c r="AC7" i="22"/>
  <c r="D29" i="21"/>
  <c r="D33" i="21"/>
  <c r="D28" i="21"/>
  <c r="D31" i="21"/>
  <c r="AC8" i="22"/>
  <c r="D30" i="21"/>
  <c r="D32" i="21"/>
  <c r="AC9" i="22"/>
  <c r="AC10" i="22"/>
  <c r="AC11" i="22"/>
  <c r="AC12" i="22"/>
  <c r="AC39" i="22"/>
  <c r="AC38" i="22"/>
  <c r="AC13" i="22"/>
  <c r="AC19" i="22"/>
  <c r="AC23" i="22"/>
  <c r="AC31" i="22"/>
  <c r="AC43" i="22"/>
  <c r="AC25" i="22"/>
  <c r="AC40" i="22"/>
  <c r="AC44" i="22"/>
  <c r="AC46" i="22"/>
  <c r="AC17" i="22"/>
  <c r="AC26" i="22"/>
  <c r="AC15" i="22"/>
  <c r="AC34" i="22"/>
  <c r="AC36" i="22"/>
  <c r="AC21" i="22"/>
  <c r="AC24" i="22"/>
  <c r="AC33" i="22"/>
  <c r="AC35" i="22"/>
  <c r="AC18" i="22"/>
  <c r="AC30" i="22"/>
  <c r="AC41" i="22"/>
  <c r="AC29" i="22"/>
  <c r="AC32" i="22"/>
  <c r="AC28" i="22"/>
  <c r="AC42" i="22"/>
  <c r="AC14" i="22"/>
  <c r="AC27" i="22"/>
  <c r="AC45" i="22"/>
  <c r="AC22" i="22"/>
  <c r="AC37" i="22"/>
  <c r="D41" i="21" l="1"/>
  <c r="C37" i="39"/>
  <c r="C36" i="39"/>
  <c r="O4" i="8"/>
  <c r="O11" i="8" s="1"/>
  <c r="F5" i="41"/>
  <c r="F5" i="26"/>
  <c r="J4" i="25"/>
  <c r="G5" i="33" s="1"/>
  <c r="A11" i="25"/>
  <c r="A11" i="28" s="1"/>
  <c r="A10" i="26"/>
  <c r="F5" i="30"/>
  <c r="F5" i="29"/>
  <c r="F5" i="28"/>
  <c r="H2" i="22"/>
  <c r="H4" i="22" s="1"/>
  <c r="AD14" i="22"/>
  <c r="AD13" i="22"/>
  <c r="AD12" i="22"/>
  <c r="AD46" i="22"/>
  <c r="AD25" i="22"/>
  <c r="AD41" i="22"/>
  <c r="AD23" i="22"/>
  <c r="AD22" i="22"/>
  <c r="AD17" i="22"/>
  <c r="AD24" i="22"/>
  <c r="AD30" i="22"/>
  <c r="AD33" i="22"/>
  <c r="AD18" i="22"/>
  <c r="AD34" i="22"/>
  <c r="AD44" i="22"/>
  <c r="AD21" i="22"/>
  <c r="AD43" i="22"/>
  <c r="AD29" i="22"/>
  <c r="AD35" i="22"/>
  <c r="AD45" i="22"/>
  <c r="AD27" i="22"/>
  <c r="AD36" i="22"/>
  <c r="AD28" i="22"/>
  <c r="AD32" i="22"/>
  <c r="AD38" i="22"/>
  <c r="AD42" i="22"/>
  <c r="AD39" i="22"/>
  <c r="AD37" i="22"/>
  <c r="AD31" i="22"/>
  <c r="AD40" i="22"/>
  <c r="AD26" i="22"/>
  <c r="AD19" i="22"/>
  <c r="AD15" i="22"/>
  <c r="D2" i="33"/>
  <c r="F13" i="40" s="1"/>
  <c r="D2" i="30"/>
  <c r="M2" i="22"/>
  <c r="D3" i="27"/>
  <c r="A7" i="27"/>
  <c r="C3" i="8"/>
  <c r="B5" i="8" s="1"/>
  <c r="G3" i="27"/>
  <c r="J3" i="8"/>
  <c r="H13" i="40" s="1"/>
  <c r="A5" i="33"/>
  <c r="D5" i="33"/>
  <c r="R4" i="22"/>
  <c r="A9" i="27"/>
  <c r="E5" i="33"/>
  <c r="A8" i="27"/>
  <c r="F5" i="33"/>
  <c r="Q4" i="22"/>
  <c r="A10" i="27"/>
  <c r="C5" i="33"/>
  <c r="G2" i="33"/>
  <c r="C30" i="39"/>
  <c r="C29" i="39" s="1"/>
  <c r="B4" i="27"/>
  <c r="D10" i="40"/>
  <c r="G3" i="24"/>
  <c r="A11" i="24"/>
  <c r="A10" i="24"/>
  <c r="D19" i="40"/>
  <c r="A9" i="24"/>
  <c r="A8" i="24"/>
  <c r="A7" i="24"/>
  <c r="D2" i="41"/>
  <c r="C19" i="40"/>
  <c r="D1" i="31"/>
  <c r="K3" i="35"/>
  <c r="Y4" i="22"/>
  <c r="B3" i="32"/>
  <c r="I3" i="35"/>
  <c r="B1" i="31"/>
  <c r="O3" i="35"/>
  <c r="J3" i="35"/>
  <c r="C3" i="32"/>
  <c r="H3" i="35"/>
  <c r="N3" i="35"/>
  <c r="M3" i="35"/>
  <c r="L3" i="35"/>
  <c r="V4" i="22"/>
  <c r="D3" i="32"/>
  <c r="W4" i="22"/>
  <c r="C1" i="31"/>
  <c r="J4" i="7"/>
  <c r="U4" i="7"/>
  <c r="H10" i="40" s="1"/>
  <c r="A9" i="28"/>
  <c r="A10" i="28"/>
  <c r="A8" i="28"/>
  <c r="E10" i="40"/>
  <c r="G3" i="28"/>
  <c r="A7" i="28"/>
  <c r="E19" i="40"/>
  <c r="A9" i="29"/>
  <c r="G3" i="29"/>
  <c r="B4" i="29"/>
  <c r="A10" i="29"/>
  <c r="A11" i="29"/>
  <c r="A7" i="29"/>
  <c r="A8" i="29"/>
  <c r="C4" i="7"/>
  <c r="AD10" i="22"/>
  <c r="AC20" i="22"/>
  <c r="AC16" i="22"/>
  <c r="AD11" i="22"/>
  <c r="AD8" i="22"/>
  <c r="D7" i="22"/>
  <c r="AD9" i="22"/>
  <c r="D8" i="22"/>
  <c r="S7" i="22"/>
  <c r="AD7" i="22"/>
  <c r="I7" i="22"/>
  <c r="D9" i="22"/>
  <c r="D10" i="22"/>
  <c r="D11" i="22"/>
  <c r="D12" i="22"/>
  <c r="D13" i="22"/>
  <c r="D14" i="22"/>
  <c r="D15" i="22"/>
  <c r="D16" i="22"/>
  <c r="D17" i="22"/>
  <c r="D18" i="22"/>
  <c r="D19" i="22"/>
  <c r="D46" i="22"/>
  <c r="D93" i="22"/>
  <c r="D44" i="22"/>
  <c r="D37" i="22"/>
  <c r="D21" i="22"/>
  <c r="D43" i="22"/>
  <c r="D69" i="22"/>
  <c r="D107" i="22"/>
  <c r="D65" i="22"/>
  <c r="D86" i="22"/>
  <c r="D48" i="22"/>
  <c r="D80" i="22"/>
  <c r="D105" i="22"/>
  <c r="D83" i="22"/>
  <c r="D81" i="22"/>
  <c r="D104" i="22"/>
  <c r="D76" i="22"/>
  <c r="D34" i="22"/>
  <c r="D56" i="22"/>
  <c r="D39" i="22"/>
  <c r="D95" i="22"/>
  <c r="D91" i="22"/>
  <c r="D52" i="22"/>
  <c r="D26" i="22"/>
  <c r="D33" i="22"/>
  <c r="D45" i="22"/>
  <c r="D79" i="22"/>
  <c r="D58" i="22"/>
  <c r="D61" i="22"/>
  <c r="D97" i="22"/>
  <c r="D73" i="22"/>
  <c r="D57" i="22"/>
  <c r="D23" i="22"/>
  <c r="D100" i="22"/>
  <c r="D55" i="22"/>
  <c r="D99" i="22"/>
  <c r="D47" i="22"/>
  <c r="D82" i="22"/>
  <c r="D35" i="22"/>
  <c r="D78" i="22"/>
  <c r="D38" i="22"/>
  <c r="D84" i="22"/>
  <c r="D92" i="22"/>
  <c r="D27" i="22"/>
  <c r="D20" i="22"/>
  <c r="D42" i="22"/>
  <c r="D96" i="22"/>
  <c r="D90" i="22"/>
  <c r="D68" i="22"/>
  <c r="D31" i="22"/>
  <c r="D29" i="22"/>
  <c r="D74" i="22"/>
  <c r="D63" i="22"/>
  <c r="D106" i="22"/>
  <c r="D89" i="22"/>
  <c r="D77" i="22"/>
  <c r="D25" i="22"/>
  <c r="D94" i="22"/>
  <c r="D85" i="22"/>
  <c r="D98" i="22"/>
  <c r="D87" i="22"/>
  <c r="D28" i="22"/>
  <c r="D40" i="22"/>
  <c r="D67" i="22"/>
  <c r="D70" i="22"/>
  <c r="D103" i="22"/>
  <c r="D51" i="22"/>
  <c r="D53" i="22"/>
  <c r="D30" i="22"/>
  <c r="D88" i="22"/>
  <c r="D50" i="22"/>
  <c r="D36" i="22"/>
  <c r="D22" i="22"/>
  <c r="D101" i="22"/>
  <c r="D66" i="22"/>
  <c r="D59" i="22"/>
  <c r="D62" i="22"/>
  <c r="D72" i="22"/>
  <c r="D60" i="22"/>
  <c r="D102" i="22"/>
  <c r="D75" i="22"/>
  <c r="D54" i="22"/>
  <c r="D32" i="22"/>
  <c r="D64" i="22"/>
  <c r="D41" i="22"/>
  <c r="D49" i="22"/>
  <c r="D71" i="22"/>
  <c r="D24" i="22"/>
  <c r="E24" i="22" l="1"/>
  <c r="H23" i="21" s="1"/>
  <c r="E71" i="22"/>
  <c r="E49" i="22"/>
  <c r="E41" i="22"/>
  <c r="H40" i="21" s="1"/>
  <c r="E64" i="22"/>
  <c r="E32" i="22"/>
  <c r="H31" i="21" s="1"/>
  <c r="E54" i="22"/>
  <c r="E75" i="22"/>
  <c r="E102" i="22"/>
  <c r="E60" i="22"/>
  <c r="E72" i="22"/>
  <c r="E62" i="22"/>
  <c r="E59" i="22"/>
  <c r="E66" i="22"/>
  <c r="E101" i="22"/>
  <c r="E22" i="22"/>
  <c r="H21" i="21" s="1"/>
  <c r="E36" i="22"/>
  <c r="H35" i="21" s="1"/>
  <c r="E50" i="22"/>
  <c r="E88" i="22"/>
  <c r="E30" i="22"/>
  <c r="H29" i="21" s="1"/>
  <c r="E53" i="22"/>
  <c r="E51" i="22"/>
  <c r="E103" i="22"/>
  <c r="E70" i="22"/>
  <c r="E67" i="22"/>
  <c r="E40" i="22"/>
  <c r="H39" i="21" s="1"/>
  <c r="E28" i="22"/>
  <c r="H27" i="21" s="1"/>
  <c r="E87" i="22"/>
  <c r="E98" i="22"/>
  <c r="E85" i="22"/>
  <c r="E94" i="22"/>
  <c r="E25" i="22"/>
  <c r="H24" i="21" s="1"/>
  <c r="E77" i="22"/>
  <c r="E89" i="22"/>
  <c r="E106" i="22"/>
  <c r="E63" i="22"/>
  <c r="E74" i="22"/>
  <c r="E29" i="22"/>
  <c r="H28" i="21" s="1"/>
  <c r="E31" i="22"/>
  <c r="H30" i="21" s="1"/>
  <c r="E68" i="22"/>
  <c r="E90" i="22"/>
  <c r="E96" i="22"/>
  <c r="E42" i="22"/>
  <c r="H41" i="21" s="1"/>
  <c r="E20" i="22"/>
  <c r="H19" i="21" s="1"/>
  <c r="E27" i="22"/>
  <c r="H26" i="21" s="1"/>
  <c r="E92" i="22"/>
  <c r="E84" i="22"/>
  <c r="E38" i="22"/>
  <c r="H37" i="21" s="1"/>
  <c r="E78" i="22"/>
  <c r="E35" i="22"/>
  <c r="H34" i="21" s="1"/>
  <c r="E82" i="22"/>
  <c r="E47" i="22"/>
  <c r="E99" i="22"/>
  <c r="E55" i="22"/>
  <c r="E100" i="22"/>
  <c r="E23" i="22"/>
  <c r="H22" i="21" s="1"/>
  <c r="E57" i="22"/>
  <c r="E73" i="22"/>
  <c r="E97" i="22"/>
  <c r="E61" i="22"/>
  <c r="E58" i="22"/>
  <c r="E79" i="22"/>
  <c r="E45" i="22"/>
  <c r="H44" i="21" s="1"/>
  <c r="E33" i="22"/>
  <c r="H32" i="21" s="1"/>
  <c r="E26" i="22"/>
  <c r="H25" i="21" s="1"/>
  <c r="E52" i="22"/>
  <c r="E91" i="22"/>
  <c r="E95" i="22"/>
  <c r="E39" i="22"/>
  <c r="H38" i="21" s="1"/>
  <c r="E56" i="22"/>
  <c r="E34" i="22"/>
  <c r="H33" i="21" s="1"/>
  <c r="E76" i="22"/>
  <c r="E104" i="22"/>
  <c r="E81" i="22"/>
  <c r="E83" i="22"/>
  <c r="E105" i="22"/>
  <c r="E80" i="22"/>
  <c r="E48" i="22"/>
  <c r="E86" i="22"/>
  <c r="E65" i="22"/>
  <c r="E107" i="22"/>
  <c r="E69" i="22"/>
  <c r="E43" i="22"/>
  <c r="H42" i="21" s="1"/>
  <c r="E21" i="22"/>
  <c r="H20" i="21" s="1"/>
  <c r="E37" i="22"/>
  <c r="H36" i="21" s="1"/>
  <c r="E44" i="22"/>
  <c r="H43" i="21" s="1"/>
  <c r="E93" i="22"/>
  <c r="E46" i="22"/>
  <c r="H45" i="21" s="1"/>
  <c r="E19" i="22"/>
  <c r="H18" i="21" s="1"/>
  <c r="A11" i="27"/>
  <c r="N11" i="8"/>
  <c r="AD20" i="22"/>
  <c r="O4" i="22"/>
  <c r="AG2" i="22"/>
  <c r="BJ3" i="35" s="1"/>
  <c r="AD16" i="22"/>
  <c r="G2" i="27"/>
  <c r="A11" i="26"/>
  <c r="A12" i="25"/>
  <c r="A12" i="41" s="1"/>
  <c r="K4" i="25"/>
  <c r="H5" i="27" s="1"/>
  <c r="G5" i="28"/>
  <c r="G5" i="29"/>
  <c r="G5" i="30"/>
  <c r="G5" i="26"/>
  <c r="G5" i="41"/>
  <c r="A11" i="30"/>
  <c r="G3" i="33"/>
  <c r="A10" i="30"/>
  <c r="G3" i="30"/>
  <c r="B4" i="33"/>
  <c r="M4" i="22"/>
  <c r="A9" i="33"/>
  <c r="A7" i="33"/>
  <c r="A8" i="33"/>
  <c r="A7" i="30"/>
  <c r="U3" i="32"/>
  <c r="A9" i="30"/>
  <c r="A8" i="30"/>
  <c r="BD3" i="35"/>
  <c r="Z3" i="32"/>
  <c r="AN3" i="32"/>
  <c r="AP3" i="32"/>
  <c r="AB3" i="32"/>
  <c r="AK3" i="35"/>
  <c r="D13" i="40"/>
  <c r="AM3" i="32"/>
  <c r="AN3" i="35"/>
  <c r="L4" i="22"/>
  <c r="AF3" i="32"/>
  <c r="AF3" i="35"/>
  <c r="AP3" i="35"/>
  <c r="AC3" i="35"/>
  <c r="AO3" i="35"/>
  <c r="AO3" i="32"/>
  <c r="AE3" i="32"/>
  <c r="AC3" i="32"/>
  <c r="AK3" i="32"/>
  <c r="AD3" i="32"/>
  <c r="AE3" i="35"/>
  <c r="AD3" i="35"/>
  <c r="C13" i="40"/>
  <c r="AJ3" i="32"/>
  <c r="AM3" i="35"/>
  <c r="Z3" i="35"/>
  <c r="AJ3" i="35"/>
  <c r="AB3" i="35"/>
  <c r="E5" i="27"/>
  <c r="C5" i="8"/>
  <c r="E13" i="40"/>
  <c r="D5" i="27"/>
  <c r="G13" i="40"/>
  <c r="G5" i="27"/>
  <c r="F5" i="27"/>
  <c r="C5" i="27"/>
  <c r="G4" i="22"/>
  <c r="C10" i="40"/>
  <c r="BF3" i="32"/>
  <c r="T3" i="32"/>
  <c r="AX3" i="32"/>
  <c r="J4" i="22"/>
  <c r="BC3" i="32"/>
  <c r="BB3" i="32"/>
  <c r="AY3" i="32"/>
  <c r="BA3" i="32"/>
  <c r="T3" i="35"/>
  <c r="BC3" i="35"/>
  <c r="AY3" i="35"/>
  <c r="AW3" i="35"/>
  <c r="U3" i="35"/>
  <c r="AW3" i="32"/>
  <c r="BF3" i="35"/>
  <c r="BA3" i="35"/>
  <c r="AX3" i="35"/>
  <c r="BB3" i="35"/>
  <c r="S3" i="35"/>
  <c r="I5" i="8"/>
  <c r="J5" i="8"/>
  <c r="BD3" i="32"/>
  <c r="S3" i="32"/>
  <c r="G22" i="40"/>
  <c r="A10" i="41"/>
  <c r="A11" i="41"/>
  <c r="A8" i="41"/>
  <c r="G3" i="41"/>
  <c r="B4" i="41"/>
  <c r="A9" i="41"/>
  <c r="A7" i="41"/>
  <c r="B5" i="7"/>
  <c r="C5" i="7"/>
  <c r="F10" i="40"/>
  <c r="I5" i="7"/>
  <c r="V5" i="7"/>
  <c r="T5" i="7"/>
  <c r="U5" i="7"/>
  <c r="J5" i="7"/>
  <c r="G10" i="40"/>
  <c r="E11" i="22"/>
  <c r="E18" i="22"/>
  <c r="E10" i="22"/>
  <c r="N7" i="22"/>
  <c r="E17" i="22"/>
  <c r="E9" i="22"/>
  <c r="S8" i="22"/>
  <c r="E16" i="22"/>
  <c r="E8" i="22"/>
  <c r="T7" i="22"/>
  <c r="E15" i="22"/>
  <c r="E7" i="22"/>
  <c r="S9" i="22"/>
  <c r="S12" i="22"/>
  <c r="E12" i="22"/>
  <c r="E14" i="22"/>
  <c r="X7" i="22"/>
  <c r="N8" i="22"/>
  <c r="E13" i="22"/>
  <c r="I8" i="22"/>
  <c r="S13" i="22"/>
  <c r="N9" i="22"/>
  <c r="N10" i="22"/>
  <c r="J7" i="22"/>
  <c r="S16" i="22"/>
  <c r="S14" i="22"/>
  <c r="X8" i="22"/>
  <c r="X9" i="22"/>
  <c r="N11" i="22"/>
  <c r="N12" i="22"/>
  <c r="I9" i="22"/>
  <c r="I10" i="22"/>
  <c r="N13" i="22"/>
  <c r="X10" i="22"/>
  <c r="X11" i="22"/>
  <c r="X12" i="22"/>
  <c r="N14" i="22"/>
  <c r="I11" i="22"/>
  <c r="N15" i="22"/>
  <c r="N16" i="22"/>
  <c r="N32" i="22"/>
  <c r="N29" i="22"/>
  <c r="N17" i="22"/>
  <c r="N36" i="22"/>
  <c r="X13" i="22"/>
  <c r="X14" i="22"/>
  <c r="N27" i="22"/>
  <c r="N22" i="22"/>
  <c r="N24" i="22"/>
  <c r="N20" i="22"/>
  <c r="N19" i="22"/>
  <c r="N28" i="22"/>
  <c r="N33" i="22"/>
  <c r="N23" i="22"/>
  <c r="N18" i="22"/>
  <c r="N25" i="22"/>
  <c r="N39" i="22"/>
  <c r="I12" i="22"/>
  <c r="N31" i="22"/>
  <c r="N45" i="22"/>
  <c r="N21" i="22"/>
  <c r="N30" i="22"/>
  <c r="N40" i="22"/>
  <c r="N43" i="22"/>
  <c r="N46" i="22"/>
  <c r="N38" i="22"/>
  <c r="N41" i="22"/>
  <c r="N35" i="22"/>
  <c r="N42" i="22"/>
  <c r="N37" i="22"/>
  <c r="N26" i="22"/>
  <c r="N44" i="22"/>
  <c r="N34" i="22"/>
  <c r="X15" i="22"/>
  <c r="X16" i="22"/>
  <c r="I13" i="22"/>
  <c r="X17" i="22"/>
  <c r="I14" i="22"/>
  <c r="I15" i="22"/>
  <c r="I16" i="22"/>
  <c r="X18" i="22"/>
  <c r="X19" i="22"/>
  <c r="I17" i="22"/>
  <c r="I18" i="22"/>
  <c r="I19" i="22"/>
  <c r="I20" i="22"/>
  <c r="X20" i="22"/>
  <c r="I21" i="22"/>
  <c r="I29" i="22"/>
  <c r="X21" i="22"/>
  <c r="I36" i="22"/>
  <c r="I37" i="22"/>
  <c r="I23" i="22"/>
  <c r="I45" i="22"/>
  <c r="I38" i="22"/>
  <c r="I41" i="22"/>
  <c r="I28" i="22"/>
  <c r="I46" i="22"/>
  <c r="I30" i="22"/>
  <c r="I33" i="22"/>
  <c r="I32" i="22"/>
  <c r="I42" i="22"/>
  <c r="I43" i="22"/>
  <c r="I25" i="22"/>
  <c r="I26" i="22"/>
  <c r="I40" i="22"/>
  <c r="I22" i="22"/>
  <c r="I34" i="22"/>
  <c r="I39" i="22"/>
  <c r="I27" i="22"/>
  <c r="I35" i="22"/>
  <c r="I44" i="22"/>
  <c r="I31" i="22"/>
  <c r="I24" i="22"/>
  <c r="X22" i="22"/>
  <c r="X23" i="22"/>
  <c r="X24" i="22"/>
  <c r="X25" i="22"/>
  <c r="X26" i="22"/>
  <c r="X27" i="22"/>
  <c r="X28" i="22"/>
  <c r="X29" i="22"/>
  <c r="X30" i="22"/>
  <c r="X31" i="22"/>
  <c r="X44" i="22"/>
  <c r="X35" i="22"/>
  <c r="X40" i="22"/>
  <c r="X45" i="22"/>
  <c r="X39" i="22"/>
  <c r="X46" i="22"/>
  <c r="X42" i="22"/>
  <c r="X32" i="22"/>
  <c r="X43" i="22"/>
  <c r="X33" i="22"/>
  <c r="X34" i="22"/>
  <c r="X38" i="22"/>
  <c r="X36" i="22"/>
  <c r="X41" i="22"/>
  <c r="X37" i="22"/>
  <c r="Y37" i="22" l="1"/>
  <c r="Y41" i="22"/>
  <c r="Y36" i="22"/>
  <c r="Y38" i="22"/>
  <c r="Y34" i="22"/>
  <c r="Y33" i="22"/>
  <c r="Y43" i="22"/>
  <c r="Y32" i="22"/>
  <c r="Y42" i="22"/>
  <c r="Y46" i="22"/>
  <c r="Y39" i="22"/>
  <c r="Y45" i="22"/>
  <c r="Y40" i="22"/>
  <c r="Y35" i="22"/>
  <c r="Y31" i="22"/>
  <c r="H12" i="21"/>
  <c r="H13" i="21"/>
  <c r="H11" i="21"/>
  <c r="H4" i="21" s="1"/>
  <c r="H6" i="21"/>
  <c r="H14" i="21"/>
  <c r="H7" i="21"/>
  <c r="H15" i="21"/>
  <c r="H8" i="21"/>
  <c r="H16" i="21"/>
  <c r="H9" i="21"/>
  <c r="H17" i="21"/>
  <c r="H10" i="21"/>
  <c r="A12" i="30"/>
  <c r="Y44" i="22"/>
  <c r="J36" i="22"/>
  <c r="J37" i="22"/>
  <c r="J30" i="22"/>
  <c r="J34" i="22"/>
  <c r="J45" i="22"/>
  <c r="J25" i="22"/>
  <c r="J24" i="22"/>
  <c r="J33" i="22"/>
  <c r="J42" i="22"/>
  <c r="J31" i="22"/>
  <c r="J40" i="22"/>
  <c r="J22" i="22"/>
  <c r="J27" i="22"/>
  <c r="J35" i="22"/>
  <c r="J39" i="22"/>
  <c r="J21" i="22"/>
  <c r="J46" i="22"/>
  <c r="J38" i="22"/>
  <c r="J23" i="22"/>
  <c r="J41" i="22"/>
  <c r="J44" i="22"/>
  <c r="J28" i="22"/>
  <c r="J29" i="22"/>
  <c r="J43" i="22"/>
  <c r="J32" i="22"/>
  <c r="J26" i="22"/>
  <c r="T12" i="22"/>
  <c r="T16" i="22"/>
  <c r="T14" i="22"/>
  <c r="T13" i="22"/>
  <c r="T9" i="22"/>
  <c r="C10" i="10"/>
  <c r="L4" i="25"/>
  <c r="I5" i="28" s="1"/>
  <c r="H5" i="30"/>
  <c r="H5" i="41"/>
  <c r="H5" i="28"/>
  <c r="H5" i="26"/>
  <c r="H5" i="29"/>
  <c r="H5" i="33"/>
  <c r="A13" i="25"/>
  <c r="A12" i="26"/>
  <c r="A12" i="24"/>
  <c r="A12" i="27"/>
  <c r="A12" i="29"/>
  <c r="A12" i="28"/>
  <c r="O34" i="22"/>
  <c r="AF34" i="22" s="1"/>
  <c r="O20" i="22"/>
  <c r="AF20" i="22" s="1"/>
  <c r="O41" i="22"/>
  <c r="AF41" i="22" s="1"/>
  <c r="O40" i="22"/>
  <c r="AF40" i="22" s="1"/>
  <c r="O25" i="22"/>
  <c r="AF25" i="22" s="1"/>
  <c r="O43" i="22"/>
  <c r="AF43" i="22" s="1"/>
  <c r="O44" i="22"/>
  <c r="AF44" i="22" s="1"/>
  <c r="O24" i="22"/>
  <c r="AF24" i="22" s="1"/>
  <c r="O36" i="22"/>
  <c r="AF36" i="22" s="1"/>
  <c r="O38" i="22"/>
  <c r="AF38" i="22" s="1"/>
  <c r="O30" i="22"/>
  <c r="AF30" i="22" s="1"/>
  <c r="O32" i="22"/>
  <c r="AF32" i="22" s="1"/>
  <c r="O27" i="22"/>
  <c r="AF27" i="22" s="1"/>
  <c r="O21" i="22"/>
  <c r="AF21" i="22" s="1"/>
  <c r="O28" i="22"/>
  <c r="AF28" i="22" s="1"/>
  <c r="O29" i="22"/>
  <c r="AF29" i="22" s="1"/>
  <c r="O31" i="22"/>
  <c r="AF31" i="22" s="1"/>
  <c r="O33" i="22"/>
  <c r="AF33" i="22" s="1"/>
  <c r="O42" i="22"/>
  <c r="AF42" i="22" s="1"/>
  <c r="O22" i="22"/>
  <c r="AF22" i="22" s="1"/>
  <c r="O35" i="22"/>
  <c r="AF35" i="22" s="1"/>
  <c r="O45" i="22"/>
  <c r="AF45" i="22" s="1"/>
  <c r="O18" i="22"/>
  <c r="O39" i="22"/>
  <c r="AF39" i="22" s="1"/>
  <c r="O23" i="22"/>
  <c r="AF23" i="22" s="1"/>
  <c r="O19" i="22"/>
  <c r="AF19" i="22" s="1"/>
  <c r="O37" i="22"/>
  <c r="AF37" i="22" s="1"/>
  <c r="O46" i="22"/>
  <c r="AF46" i="22" s="1"/>
  <c r="O26" i="22"/>
  <c r="AF26" i="22" s="1"/>
  <c r="O17" i="22"/>
  <c r="AR3" i="35"/>
  <c r="AF4" i="22"/>
  <c r="BH3" i="32"/>
  <c r="AG4" i="22"/>
  <c r="BI3" i="35"/>
  <c r="BH3" i="35"/>
  <c r="AR3" i="32"/>
  <c r="BI3" i="32"/>
  <c r="BJ3" i="32"/>
  <c r="AQ3" i="32"/>
  <c r="AQ3" i="35"/>
  <c r="AI4" i="22"/>
  <c r="O16" i="22"/>
  <c r="Y29" i="22"/>
  <c r="Y21" i="22"/>
  <c r="Y13" i="22"/>
  <c r="Y28" i="22"/>
  <c r="Y20" i="22"/>
  <c r="Y12" i="22"/>
  <c r="J14" i="22"/>
  <c r="J16" i="22"/>
  <c r="S11" i="22"/>
  <c r="O15" i="22"/>
  <c r="Y27" i="22"/>
  <c r="Y19" i="22"/>
  <c r="Y11" i="22"/>
  <c r="Y26" i="22"/>
  <c r="Y18" i="22"/>
  <c r="Y10" i="22"/>
  <c r="O10" i="22"/>
  <c r="O9" i="22"/>
  <c r="O14" i="22"/>
  <c r="J15" i="22"/>
  <c r="C8" i="7"/>
  <c r="Y25" i="22"/>
  <c r="Y17" i="22"/>
  <c r="Y9" i="22"/>
  <c r="AH7" i="22"/>
  <c r="O8" i="22"/>
  <c r="S10" i="22"/>
  <c r="J18" i="22"/>
  <c r="D8" i="7"/>
  <c r="Y24" i="22"/>
  <c r="Y16" i="22"/>
  <c r="Y8" i="22"/>
  <c r="O11" i="22"/>
  <c r="J11" i="22"/>
  <c r="J17" i="22"/>
  <c r="O12" i="22"/>
  <c r="O7" i="22"/>
  <c r="Y23" i="22"/>
  <c r="Y15" i="22"/>
  <c r="S15" i="22"/>
  <c r="J8" i="22"/>
  <c r="T8" i="22"/>
  <c r="J20" i="22"/>
  <c r="O13" i="22"/>
  <c r="Y30" i="22"/>
  <c r="Y22" i="22"/>
  <c r="Y14" i="22"/>
  <c r="Y7" i="22"/>
  <c r="J9" i="22"/>
  <c r="J19" i="22"/>
  <c r="J13" i="22"/>
  <c r="U8" i="7"/>
  <c r="J10" i="22"/>
  <c r="J12" i="22"/>
  <c r="AH8" i="22"/>
  <c r="AH9" i="22"/>
  <c r="AH10" i="22"/>
  <c r="AH11" i="22"/>
  <c r="AH12" i="22"/>
  <c r="AH13" i="22"/>
  <c r="AH32" i="22"/>
  <c r="AH17" i="22"/>
  <c r="AH28" i="22"/>
  <c r="AH25" i="22"/>
  <c r="AH14" i="22"/>
  <c r="AH45" i="22"/>
  <c r="AH42" i="22"/>
  <c r="AH23" i="22"/>
  <c r="AH46" i="22"/>
  <c r="AH26" i="22"/>
  <c r="AH24" i="22"/>
  <c r="AH19" i="22"/>
  <c r="AH27" i="22"/>
  <c r="AH20" i="22"/>
  <c r="AH37" i="22"/>
  <c r="AH30" i="22"/>
  <c r="AH36" i="22"/>
  <c r="AH39" i="22"/>
  <c r="AH41" i="22"/>
  <c r="AH34" i="22"/>
  <c r="AH18" i="22"/>
  <c r="AH16" i="22"/>
  <c r="AH21" i="22"/>
  <c r="AH40" i="22"/>
  <c r="AH33" i="22"/>
  <c r="AH22" i="22"/>
  <c r="AH15" i="22"/>
  <c r="AH38" i="22"/>
  <c r="AH31" i="22"/>
  <c r="AH35" i="22"/>
  <c r="AH29" i="22"/>
  <c r="T10" i="22" l="1"/>
  <c r="T15" i="22"/>
  <c r="T11" i="22"/>
  <c r="S29" i="10"/>
  <c r="A13" i="26"/>
  <c r="A14" i="25"/>
  <c r="A13" i="27"/>
  <c r="A13" i="29"/>
  <c r="A13" i="24"/>
  <c r="A13" i="28"/>
  <c r="A13" i="30"/>
  <c r="A13" i="41"/>
  <c r="M4" i="25"/>
  <c r="J5" i="28" s="1"/>
  <c r="I5" i="30"/>
  <c r="I5" i="41"/>
  <c r="I5" i="26"/>
  <c r="I5" i="29"/>
  <c r="I5" i="33"/>
  <c r="I5" i="27"/>
  <c r="AF15" i="22"/>
  <c r="AF8" i="22"/>
  <c r="AF16" i="22"/>
  <c r="AF11" i="22"/>
  <c r="AF13" i="22"/>
  <c r="AF10" i="22"/>
  <c r="AF7" i="22"/>
  <c r="AF14" i="22"/>
  <c r="AF12" i="22"/>
  <c r="AF9" i="22"/>
  <c r="AI45" i="22"/>
  <c r="AI41" i="22"/>
  <c r="AI39" i="22"/>
  <c r="AI31" i="22"/>
  <c r="AI27" i="22"/>
  <c r="AI21" i="22"/>
  <c r="AI28" i="22"/>
  <c r="AI16" i="22"/>
  <c r="AI17" i="22"/>
  <c r="AI36" i="22"/>
  <c r="AI29" i="22"/>
  <c r="AI40" i="22"/>
  <c r="AI18" i="22"/>
  <c r="AI46" i="22"/>
  <c r="AI23" i="22"/>
  <c r="AI20" i="22"/>
  <c r="AI24" i="22"/>
  <c r="AI25" i="22"/>
  <c r="AI34" i="22"/>
  <c r="AI32" i="22"/>
  <c r="AI35" i="22"/>
  <c r="AI33" i="22"/>
  <c r="AI37" i="22"/>
  <c r="AI38" i="22"/>
  <c r="AI22" i="22"/>
  <c r="AI19" i="22"/>
  <c r="AI30" i="22"/>
  <c r="AI26" i="22"/>
  <c r="AI42" i="22"/>
  <c r="AI15" i="22"/>
  <c r="AI14" i="22"/>
  <c r="AI13" i="22"/>
  <c r="AI8" i="22"/>
  <c r="AI11" i="22"/>
  <c r="AH43" i="22"/>
  <c r="AH44" i="22"/>
  <c r="AI12" i="22"/>
  <c r="AI10" i="22"/>
  <c r="AI9" i="22"/>
  <c r="AI7" i="22"/>
  <c r="AI44" i="22" l="1"/>
  <c r="AI43" i="22"/>
  <c r="N4" i="25"/>
  <c r="K5" i="28" s="1"/>
  <c r="J5" i="30"/>
  <c r="J5" i="41"/>
  <c r="J5" i="29"/>
  <c r="J5" i="33"/>
  <c r="J5" i="27"/>
  <c r="A15" i="25"/>
  <c r="A14" i="26"/>
  <c r="A14" i="24"/>
  <c r="A14" i="27"/>
  <c r="A14" i="30"/>
  <c r="A14" i="41"/>
  <c r="A16" i="25" l="1"/>
  <c r="A15" i="26"/>
  <c r="C15" i="31"/>
  <c r="A15" i="27"/>
  <c r="A15" i="24"/>
  <c r="A15" i="41"/>
  <c r="A15" i="30"/>
  <c r="O4" i="25"/>
  <c r="K5" i="41"/>
  <c r="K5" i="29"/>
  <c r="K5" i="30"/>
  <c r="K5" i="33"/>
  <c r="K5" i="27"/>
  <c r="L5" i="41" l="1"/>
  <c r="L5" i="28"/>
  <c r="L5" i="27"/>
  <c r="P4" i="25"/>
  <c r="L5" i="30"/>
  <c r="L5" i="29"/>
  <c r="L5" i="33"/>
  <c r="A17" i="25"/>
  <c r="C3" i="31"/>
  <c r="C16" i="31"/>
  <c r="C4" i="31"/>
  <c r="C7" i="31"/>
  <c r="A16" i="26"/>
  <c r="C5" i="31"/>
  <c r="C6" i="31"/>
  <c r="C8" i="31"/>
  <c r="C9" i="31"/>
  <c r="A16" i="27"/>
  <c r="A16" i="24"/>
  <c r="C10" i="31"/>
  <c r="A16" i="30"/>
  <c r="C11" i="31"/>
  <c r="A16" i="41"/>
  <c r="C12" i="31"/>
  <c r="C13" i="31"/>
  <c r="C14" i="31"/>
  <c r="M5" i="41" l="1"/>
  <c r="M5" i="28"/>
  <c r="M5" i="27"/>
  <c r="A18" i="25"/>
  <c r="A17" i="26"/>
  <c r="C17" i="31"/>
  <c r="A17" i="27"/>
  <c r="A17" i="24"/>
  <c r="A17" i="30"/>
  <c r="A17" i="41"/>
  <c r="Q4" i="25"/>
  <c r="M5" i="29"/>
  <c r="M5" i="30"/>
  <c r="M5" i="33"/>
  <c r="N5" i="41" l="1"/>
  <c r="N5" i="28"/>
  <c r="N5" i="27"/>
  <c r="R4" i="25"/>
  <c r="N5" i="29"/>
  <c r="N5" i="30"/>
  <c r="N5" i="33"/>
  <c r="A18" i="26"/>
  <c r="A19" i="25"/>
  <c r="C18" i="31"/>
  <c r="A18" i="24"/>
  <c r="A18" i="27"/>
  <c r="A18" i="30"/>
  <c r="A18" i="41"/>
  <c r="O5" i="41" l="1"/>
  <c r="O5" i="28"/>
  <c r="O5" i="27"/>
  <c r="A20" i="25"/>
  <c r="C19" i="31"/>
  <c r="A19" i="27"/>
  <c r="S4" i="25"/>
  <c r="O5" i="29"/>
  <c r="O5" i="30"/>
  <c r="O5" i="33"/>
  <c r="P5" i="28" l="1"/>
  <c r="P5" i="41"/>
  <c r="T4" i="25"/>
  <c r="P5" i="29"/>
  <c r="P5" i="30"/>
  <c r="P5" i="33"/>
  <c r="A21" i="25"/>
  <c r="C20" i="31"/>
  <c r="A20" i="27"/>
  <c r="A22" i="25" l="1"/>
  <c r="C21" i="31"/>
  <c r="A21" i="27"/>
  <c r="U4" i="25"/>
  <c r="Q5" i="29"/>
  <c r="Q5" i="30"/>
  <c r="Q5" i="33"/>
  <c r="V4" i="25" l="1"/>
  <c r="R5" i="30"/>
  <c r="R5" i="29"/>
  <c r="R5" i="33"/>
  <c r="A23" i="25"/>
  <c r="C22" i="31"/>
  <c r="A22" i="27"/>
  <c r="A24" i="25" l="1"/>
  <c r="C23" i="31"/>
  <c r="A23" i="27"/>
  <c r="W4" i="25"/>
  <c r="S5" i="29"/>
  <c r="S5" i="30"/>
  <c r="S5" i="33"/>
  <c r="X4" i="25" l="1"/>
  <c r="T5" i="30"/>
  <c r="T5" i="29"/>
  <c r="T5" i="33"/>
  <c r="A25" i="25"/>
  <c r="C25" i="31" s="1"/>
  <c r="C24" i="31"/>
  <c r="A24" i="27"/>
  <c r="A26" i="25" l="1"/>
  <c r="C26" i="31" s="1"/>
  <c r="Y4" i="25"/>
  <c r="U5" i="29"/>
  <c r="Z4" i="25" l="1"/>
  <c r="V5" i="29"/>
  <c r="A27" i="25"/>
  <c r="A28" i="25" l="1"/>
  <c r="AA4" i="25"/>
  <c r="W5" i="29"/>
  <c r="AB4" i="25" l="1"/>
  <c r="X5" i="29"/>
  <c r="A29" i="25"/>
  <c r="AC4" i="25" l="1"/>
  <c r="Y5" i="29"/>
  <c r="A30" i="25"/>
  <c r="AD4" i="25" l="1"/>
  <c r="AE4" i="25" s="1"/>
  <c r="AF4" i="25" s="1"/>
  <c r="AG4" i="25" s="1"/>
  <c r="AH4" i="25" s="1"/>
  <c r="AI4" i="25" s="1"/>
  <c r="AJ4" i="25" s="1"/>
  <c r="AK4" i="25" s="1"/>
  <c r="AL4" i="25" s="1"/>
  <c r="AM4" i="25" s="1"/>
  <c r="AN4" i="25" s="1"/>
  <c r="AO4" i="25" s="1"/>
  <c r="AP4" i="25" s="1"/>
  <c r="AQ4" i="25" s="1"/>
  <c r="AR4" i="25" s="1"/>
  <c r="AS4" i="25" s="1"/>
  <c r="AT4" i="25" s="1"/>
  <c r="AU4" i="25" s="1"/>
  <c r="AV4" i="25" s="1"/>
  <c r="AW4" i="25" s="1"/>
  <c r="AX4" i="25" s="1"/>
  <c r="AY4" i="25" s="1"/>
  <c r="AZ4" i="25" s="1"/>
  <c r="BA4" i="25" s="1"/>
  <c r="BB4" i="25" s="1"/>
  <c r="BC4" i="25" s="1"/>
  <c r="BD4" i="25" s="1"/>
  <c r="BE4" i="25" s="1"/>
  <c r="BF4" i="25" s="1"/>
  <c r="BG4" i="25" s="1"/>
  <c r="BH4" i="25" s="1"/>
  <c r="BI4" i="25" s="1"/>
  <c r="BJ4" i="25" s="1"/>
  <c r="BK4" i="25" s="1"/>
  <c r="BL4" i="25" s="1"/>
  <c r="BM4" i="25" s="1"/>
  <c r="BN4" i="25" s="1"/>
  <c r="BO4" i="25" s="1"/>
  <c r="BP4" i="25" s="1"/>
  <c r="BQ4" i="25" s="1"/>
  <c r="BR4" i="25" s="1"/>
  <c r="BS4" i="25" s="1"/>
  <c r="BT4" i="25" s="1"/>
  <c r="BU4" i="25" s="1"/>
  <c r="BV4" i="25" s="1"/>
  <c r="BW4" i="25" s="1"/>
  <c r="BX4" i="25" s="1"/>
  <c r="BY4" i="25" s="1"/>
  <c r="BZ4" i="25" s="1"/>
  <c r="CA4" i="25" s="1"/>
  <c r="CB4" i="25" s="1"/>
  <c r="CC4" i="25" s="1"/>
  <c r="CD4" i="25" s="1"/>
  <c r="CE4" i="25" s="1"/>
  <c r="CF4" i="25" s="1"/>
  <c r="CG4" i="25" s="1"/>
  <c r="CH4" i="25" s="1"/>
  <c r="CI4" i="25" s="1"/>
  <c r="CJ4" i="25" s="1"/>
  <c r="CK4" i="25" s="1"/>
  <c r="CL4" i="25" s="1"/>
  <c r="CM4" i="25" s="1"/>
  <c r="CN4" i="25" s="1"/>
  <c r="CO4" i="25" s="1"/>
  <c r="CP4" i="25" s="1"/>
  <c r="CQ4" i="25" s="1"/>
  <c r="CR4" i="25" s="1"/>
  <c r="CS4" i="25" s="1"/>
  <c r="CT4" i="25" s="1"/>
  <c r="CU4" i="25" s="1"/>
  <c r="CV4" i="25" s="1"/>
  <c r="CW4" i="25" s="1"/>
  <c r="CX4" i="25" s="1"/>
  <c r="CY4" i="25" s="1"/>
  <c r="CZ4" i="25" s="1"/>
  <c r="DA4" i="25" s="1"/>
  <c r="DB4" i="25" s="1"/>
  <c r="DC4" i="25" s="1"/>
  <c r="Z5" i="29"/>
  <c r="A31" i="25"/>
  <c r="A32" i="25" l="1"/>
  <c r="A33" i="25" l="1"/>
  <c r="A34" i="25" l="1"/>
  <c r="A35" i="25" l="1"/>
  <c r="A36" i="25" l="1"/>
  <c r="A37" i="25" l="1"/>
  <c r="A38" i="25" l="1"/>
  <c r="A39" i="25" l="1"/>
  <c r="A40" i="25" l="1"/>
  <c r="A41" i="25" l="1"/>
  <c r="A42" i="25" l="1"/>
  <c r="A43" i="25" l="1"/>
  <c r="A44" i="25" l="1"/>
  <c r="A45" i="25" l="1"/>
  <c r="A46" i="25" l="1"/>
  <c r="A47" i="25" l="1"/>
  <c r="A48" i="25" l="1"/>
  <c r="A49" i="25" l="1"/>
  <c r="A50" i="25" l="1"/>
  <c r="A51" i="25" l="1"/>
  <c r="A52" i="25" l="1"/>
  <c r="A53" i="25" l="1"/>
  <c r="A54" i="25" l="1"/>
  <c r="A55" i="25" l="1"/>
  <c r="A56" i="25" l="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B4" i="32"/>
  <c r="BH4" i="32"/>
  <c r="BH5" i="32"/>
  <c r="B5" i="32"/>
  <c r="BI5" i="32"/>
  <c r="BH6" i="32"/>
  <c r="B6" i="32"/>
  <c r="B41" i="32"/>
  <c r="B10" i="32"/>
  <c r="B15" i="32"/>
  <c r="B31" i="32"/>
  <c r="C20" i="32"/>
  <c r="B35" i="32"/>
  <c r="C27" i="32"/>
  <c r="C10" i="32"/>
  <c r="B34" i="32"/>
  <c r="C34" i="32"/>
  <c r="C44" i="32"/>
  <c r="B22" i="32"/>
  <c r="B26" i="32"/>
  <c r="C33" i="32"/>
  <c r="C17" i="32"/>
  <c r="C15" i="32"/>
  <c r="B27" i="32"/>
  <c r="B32" i="32"/>
  <c r="BB4" i="32"/>
  <c r="BB5" i="32"/>
  <c r="B18" i="32"/>
  <c r="C31" i="32"/>
  <c r="C16" i="32"/>
  <c r="C6" i="32"/>
  <c r="C25" i="32"/>
  <c r="B13" i="32"/>
  <c r="B12" i="32"/>
  <c r="C14" i="32"/>
  <c r="BI6" i="32"/>
  <c r="B28" i="32"/>
  <c r="C42" i="32"/>
  <c r="C22" i="32"/>
  <c r="C12" i="32"/>
  <c r="C36" i="32"/>
  <c r="Y4" i="32"/>
  <c r="C41" i="32"/>
  <c r="H4" i="32"/>
  <c r="B20" i="32"/>
  <c r="B14" i="32"/>
  <c r="C7" i="32"/>
  <c r="B19" i="32"/>
  <c r="C32" i="32"/>
  <c r="B44" i="32"/>
  <c r="B39" i="32"/>
  <c r="C5" i="32"/>
  <c r="BC5" i="32"/>
  <c r="C29" i="32"/>
  <c r="C18" i="32"/>
  <c r="H5" i="32"/>
  <c r="B21" i="32"/>
  <c r="BB6" i="32"/>
  <c r="B30" i="32"/>
  <c r="C38" i="32"/>
  <c r="C40" i="32"/>
  <c r="C11" i="32"/>
  <c r="BH7" i="32"/>
  <c r="B25" i="32"/>
  <c r="B29" i="32"/>
  <c r="B16" i="32"/>
  <c r="B36" i="32"/>
  <c r="B40" i="32"/>
  <c r="C9" i="32"/>
  <c r="C30" i="32"/>
  <c r="C43" i="32"/>
  <c r="B8" i="32"/>
  <c r="C45" i="32"/>
  <c r="B9" i="32"/>
  <c r="B11" i="32"/>
  <c r="C13" i="32"/>
  <c r="B24" i="32"/>
  <c r="B38" i="32"/>
  <c r="C8" i="32"/>
  <c r="B45" i="32"/>
  <c r="C28" i="32"/>
  <c r="C21" i="32"/>
  <c r="C37" i="32"/>
  <c r="C35" i="32"/>
  <c r="B17" i="32"/>
  <c r="B7" i="32"/>
  <c r="BH8" i="32"/>
  <c r="B42" i="32"/>
  <c r="B23" i="32"/>
  <c r="B33" i="32"/>
  <c r="C24" i="32"/>
  <c r="C26" i="32"/>
  <c r="C23" i="32"/>
  <c r="C39" i="32"/>
  <c r="B37" i="32"/>
  <c r="B43" i="32"/>
  <c r="C19" i="32"/>
  <c r="BB7" i="32"/>
  <c r="BC6" i="32"/>
  <c r="BB8" i="32"/>
  <c r="BB9" i="32"/>
  <c r="BC7" i="32"/>
  <c r="Z4" i="32"/>
  <c r="Y5" i="32"/>
  <c r="I5" i="32"/>
  <c r="H6" i="32"/>
  <c r="BI8" i="32"/>
  <c r="BI7" i="32"/>
  <c r="BH9" i="32"/>
  <c r="BH10" i="32"/>
  <c r="BH11" i="32"/>
  <c r="BC8" i="32"/>
  <c r="BC9" i="32"/>
  <c r="BB10" i="32"/>
  <c r="Y6" i="32"/>
  <c r="Z6" i="32"/>
  <c r="Z5" i="32"/>
  <c r="Y7" i="32"/>
  <c r="I6" i="32"/>
  <c r="H7" i="32"/>
  <c r="I7" i="32"/>
  <c r="BI9" i="32"/>
  <c r="BI11" i="32"/>
  <c r="BI10" i="32"/>
  <c r="BH12" i="32"/>
  <c r="BI12" i="32"/>
  <c r="BB11" i="32"/>
  <c r="BC10" i="32"/>
  <c r="BB12" i="32"/>
  <c r="BC12" i="32"/>
  <c r="Y8" i="32"/>
  <c r="Z8" i="32"/>
  <c r="Z7" i="32"/>
  <c r="Y9" i="32"/>
  <c r="H8" i="32"/>
  <c r="I8" i="32"/>
  <c r="H9" i="32"/>
  <c r="I25" i="32"/>
  <c r="H42" i="32"/>
  <c r="H13" i="32"/>
  <c r="I9" i="32"/>
  <c r="I21" i="32"/>
  <c r="H33" i="32"/>
  <c r="I18" i="32"/>
  <c r="I33" i="32"/>
  <c r="I14" i="32"/>
  <c r="I40" i="32"/>
  <c r="BH13" i="32"/>
  <c r="BI13" i="32"/>
  <c r="BB13" i="32"/>
  <c r="BC13" i="32"/>
  <c r="BB14" i="32"/>
  <c r="BC11" i="32"/>
  <c r="BB15" i="32"/>
  <c r="Y10" i="32"/>
  <c r="Z10" i="32"/>
  <c r="Y11" i="32"/>
  <c r="Z9" i="32"/>
  <c r="I13" i="32"/>
  <c r="H38" i="32"/>
  <c r="H32" i="32"/>
  <c r="I29" i="32"/>
  <c r="H17" i="32"/>
  <c r="H34" i="32"/>
  <c r="H14" i="32"/>
  <c r="I23" i="32"/>
  <c r="H15" i="32"/>
  <c r="H19" i="32"/>
  <c r="H26" i="32"/>
  <c r="H39" i="32"/>
  <c r="H45" i="32"/>
  <c r="I38" i="32"/>
  <c r="I12" i="32"/>
  <c r="I41" i="32"/>
  <c r="H31" i="32"/>
  <c r="H30" i="32"/>
  <c r="H35" i="32"/>
  <c r="I35" i="32"/>
  <c r="I37" i="32"/>
  <c r="I43" i="32"/>
  <c r="H27" i="32"/>
  <c r="H16" i="32"/>
  <c r="I44" i="32"/>
  <c r="H18" i="32"/>
  <c r="I11" i="32"/>
  <c r="I16" i="32"/>
  <c r="I32" i="32"/>
  <c r="H44" i="32"/>
  <c r="H43" i="32"/>
  <c r="I20" i="32"/>
  <c r="H25" i="32"/>
  <c r="H40" i="32"/>
  <c r="H22" i="32"/>
  <c r="H20" i="32"/>
  <c r="I31" i="32"/>
  <c r="I24" i="32"/>
  <c r="H24" i="32"/>
  <c r="I45" i="32"/>
  <c r="H28" i="32"/>
  <c r="I42" i="32"/>
  <c r="I27" i="32"/>
  <c r="I22" i="32"/>
  <c r="H12" i="32"/>
  <c r="H23" i="32"/>
  <c r="I36" i="32"/>
  <c r="H29" i="32"/>
  <c r="I26" i="32"/>
  <c r="H10" i="32"/>
  <c r="I17" i="32"/>
  <c r="I34" i="32"/>
  <c r="H11" i="32"/>
  <c r="I19" i="32"/>
  <c r="H37" i="32"/>
  <c r="I15" i="32"/>
  <c r="I10" i="32"/>
  <c r="I28" i="32"/>
  <c r="H41" i="32"/>
  <c r="H36" i="32"/>
  <c r="I39" i="32"/>
  <c r="I30" i="32"/>
  <c r="H21" i="32"/>
  <c r="BH14" i="32"/>
  <c r="BC14" i="32"/>
  <c r="BB16" i="32"/>
  <c r="BC15" i="32"/>
  <c r="Z11" i="32"/>
  <c r="Y12" i="32"/>
  <c r="BI14" i="32"/>
  <c r="BH15" i="32"/>
  <c r="BB17" i="32"/>
  <c r="BC20" i="32"/>
  <c r="BC27" i="32"/>
  <c r="BC43" i="32"/>
  <c r="BB44" i="32"/>
  <c r="BC30" i="32"/>
  <c r="BB35" i="32"/>
  <c r="BB33" i="32"/>
  <c r="BB37" i="32"/>
  <c r="BC26" i="32"/>
  <c r="BB27" i="32"/>
  <c r="BC44" i="32"/>
  <c r="BC35" i="32"/>
  <c r="BC24" i="32"/>
  <c r="BC39" i="32"/>
  <c r="BB41" i="32"/>
  <c r="BB21" i="32"/>
  <c r="BB26" i="32"/>
  <c r="BC17" i="32"/>
  <c r="BB25" i="32"/>
  <c r="BB40" i="32"/>
  <c r="BC33" i="32"/>
  <c r="BC41" i="32"/>
  <c r="BC22" i="32"/>
  <c r="BB34" i="32"/>
  <c r="BC34" i="32"/>
  <c r="BB22" i="32"/>
  <c r="BC45" i="32"/>
  <c r="BC18" i="32"/>
  <c r="BC42" i="32"/>
  <c r="BC28" i="32"/>
  <c r="BB20" i="32"/>
  <c r="BC29" i="32"/>
  <c r="BB42" i="32"/>
  <c r="BC31" i="32"/>
  <c r="BC37" i="32"/>
  <c r="BB39" i="32"/>
  <c r="BC32" i="32"/>
  <c r="BB23" i="32"/>
  <c r="BB30" i="32"/>
  <c r="BC25" i="32"/>
  <c r="BB28" i="32"/>
  <c r="BC16" i="32"/>
  <c r="Z12" i="32"/>
  <c r="Y13" i="32"/>
  <c r="BI15" i="32"/>
  <c r="BH16" i="32"/>
  <c r="BB36" i="32"/>
  <c r="BC36" i="32"/>
  <c r="BB31" i="32"/>
  <c r="BB19" i="32"/>
  <c r="BB45" i="32"/>
  <c r="BB24" i="32"/>
  <c r="BC40" i="32"/>
  <c r="BB38" i="32"/>
  <c r="BC21" i="32"/>
  <c r="BC19" i="32"/>
  <c r="BC23" i="32"/>
  <c r="BC38" i="32"/>
  <c r="BB29" i="32"/>
  <c r="BB32" i="32"/>
  <c r="BB43" i="32"/>
  <c r="BB18" i="32"/>
  <c r="Y14" i="32"/>
  <c r="Z14" i="32"/>
  <c r="Y15" i="32"/>
  <c r="Z13" i="32"/>
  <c r="BI16" i="32"/>
  <c r="BH17" i="32"/>
  <c r="BH18" i="32"/>
  <c r="Z15" i="32"/>
  <c r="Y16" i="32"/>
  <c r="Z31" i="32"/>
  <c r="Z26" i="32"/>
  <c r="Z44" i="32"/>
  <c r="Y33" i="32"/>
  <c r="Y21" i="32"/>
  <c r="Z27" i="32"/>
  <c r="Y32" i="32"/>
  <c r="Y31" i="32"/>
  <c r="Z21" i="32"/>
  <c r="Z20" i="32"/>
  <c r="BI17" i="32"/>
  <c r="BH19" i="32"/>
  <c r="BI18" i="32"/>
  <c r="Y34" i="32"/>
  <c r="Y35" i="32"/>
  <c r="Z32" i="32"/>
  <c r="Z23" i="32"/>
  <c r="Z30" i="32"/>
  <c r="Z19" i="32"/>
  <c r="Z17" i="32"/>
  <c r="Z40" i="32"/>
  <c r="Y24" i="32"/>
  <c r="Z34" i="32"/>
  <c r="Y39" i="32"/>
  <c r="Z35" i="32"/>
  <c r="Z22" i="32"/>
  <c r="Y37" i="32"/>
  <c r="Z36" i="32"/>
  <c r="Y23" i="32"/>
  <c r="Y19" i="32"/>
  <c r="Y43" i="32"/>
  <c r="Y29" i="32"/>
  <c r="Z24" i="32"/>
  <c r="Y36" i="32"/>
  <c r="Z16" i="32"/>
  <c r="Z43" i="32"/>
  <c r="Y26" i="32"/>
  <c r="Z25" i="32"/>
  <c r="Z41" i="32"/>
  <c r="Z42" i="32"/>
  <c r="Z37" i="32"/>
  <c r="Y45" i="32"/>
  <c r="Y22" i="32"/>
  <c r="Y40" i="32"/>
  <c r="Y25" i="32"/>
  <c r="Z45" i="32"/>
  <c r="Z18" i="32"/>
  <c r="Y27" i="32"/>
  <c r="Z39" i="32"/>
  <c r="Y18" i="32"/>
  <c r="Y17" i="32"/>
  <c r="Y30" i="32"/>
  <c r="Y38" i="32"/>
  <c r="Z38" i="32"/>
  <c r="Z28" i="32"/>
  <c r="Y20" i="32"/>
  <c r="Z29" i="32"/>
  <c r="Y44" i="32"/>
  <c r="Y42" i="32"/>
  <c r="Y41" i="32"/>
  <c r="Z33" i="32"/>
  <c r="Y28" i="32"/>
  <c r="BH20" i="32"/>
  <c r="BH21" i="32"/>
  <c r="BI19" i="32"/>
  <c r="BH22" i="32"/>
  <c r="BI34" i="32" s="1"/>
  <c r="BI36" i="32"/>
  <c r="BI44" i="32"/>
  <c r="BI33" i="32"/>
  <c r="BI38" i="32"/>
  <c r="BI29" i="32"/>
  <c r="BH45" i="32"/>
  <c r="BH27" i="32"/>
  <c r="BI30" i="32"/>
  <c r="BI40" i="32"/>
  <c r="BI43" i="32"/>
  <c r="BI26" i="32"/>
  <c r="BH28" i="32"/>
  <c r="BI24" i="32"/>
  <c r="BI31" i="32"/>
  <c r="BI41" i="32"/>
  <c r="BH41" i="32"/>
  <c r="BH44" i="32"/>
  <c r="BI37" i="32"/>
  <c r="BH33" i="32"/>
  <c r="BI23" i="32"/>
  <c r="BH39" i="32"/>
  <c r="BH38" i="32"/>
  <c r="BI28" i="32"/>
  <c r="BH29" i="32"/>
  <c r="BH32" i="32"/>
  <c r="BI20" i="32"/>
  <c r="BI32" i="32"/>
  <c r="BH26" i="32"/>
  <c r="BH30" i="32"/>
  <c r="BI27" i="32"/>
  <c r="BH35" i="32"/>
  <c r="BH23" i="32"/>
  <c r="BH42" i="32"/>
  <c r="BI42" i="32"/>
  <c r="BI39" i="32"/>
  <c r="BH37" i="32"/>
  <c r="BI35" i="32"/>
  <c r="BI45" i="32"/>
  <c r="BH40" i="32"/>
  <c r="BH31" i="32"/>
  <c r="BI25" i="32"/>
  <c r="BI22" i="32"/>
  <c r="BH24" i="32"/>
  <c r="BI21" i="32"/>
  <c r="BH34" i="32"/>
  <c r="BH25" i="32"/>
  <c r="BH36" i="32"/>
  <c r="BH43" i="32"/>
  <c r="BJ21" i="32"/>
  <c r="BJ32" i="32"/>
  <c r="BJ26" i="32"/>
  <c r="BJ36" i="32"/>
  <c r="AC18" i="32"/>
  <c r="AC24" i="32"/>
  <c r="AC30" i="32"/>
  <c r="AC44" i="32"/>
  <c r="L28" i="32"/>
  <c r="L22" i="32"/>
  <c r="L16" i="32"/>
  <c r="L38" i="32"/>
  <c r="L18" i="32"/>
  <c r="BJ7" i="32"/>
  <c r="D37" i="32"/>
  <c r="D9" i="32"/>
  <c r="D7" i="32"/>
  <c r="D14" i="32"/>
  <c r="D33" i="32"/>
  <c r="C4" i="32"/>
  <c r="BJ44" i="32"/>
  <c r="D32" i="32"/>
  <c r="BJ22" i="32"/>
  <c r="BJ20" i="32"/>
  <c r="BJ43" i="32"/>
  <c r="BJ34" i="32"/>
  <c r="AC45" i="32"/>
  <c r="AC36" i="32"/>
  <c r="AC23" i="32"/>
  <c r="AC26" i="32"/>
  <c r="L10" i="32"/>
  <c r="L27" i="32"/>
  <c r="L11" i="32"/>
  <c r="L23" i="32"/>
  <c r="L21" i="32"/>
  <c r="BJ8" i="32"/>
  <c r="D21" i="32"/>
  <c r="D11" i="32"/>
  <c r="I4" i="32"/>
  <c r="D25" i="32"/>
  <c r="D44" i="32"/>
  <c r="AC19" i="32"/>
  <c r="BJ9" i="32"/>
  <c r="BI4" i="32"/>
  <c r="BJ25" i="32"/>
  <c r="BJ28" i="32"/>
  <c r="BJ40" i="32"/>
  <c r="BJ19" i="32"/>
  <c r="AC37" i="32"/>
  <c r="AC22" i="32"/>
  <c r="AC32" i="32"/>
  <c r="AC31" i="32"/>
  <c r="L15" i="32"/>
  <c r="L42" i="32"/>
  <c r="L44" i="32"/>
  <c r="L29" i="32"/>
  <c r="L9" i="32"/>
  <c r="D19" i="32"/>
  <c r="D28" i="32"/>
  <c r="D40" i="32"/>
  <c r="D41" i="32"/>
  <c r="D6" i="32"/>
  <c r="D34" i="32"/>
  <c r="BJ38" i="32"/>
  <c r="AC28" i="32"/>
  <c r="AC20" i="32"/>
  <c r="L31" i="32"/>
  <c r="BJ10" i="32"/>
  <c r="D22" i="32"/>
  <c r="BJ31" i="32"/>
  <c r="BJ45" i="32"/>
  <c r="BJ23" i="32"/>
  <c r="BJ30" i="32"/>
  <c r="AC33" i="32"/>
  <c r="AC42" i="32"/>
  <c r="AC35" i="32"/>
  <c r="BJ18" i="32"/>
  <c r="BJ16" i="32"/>
  <c r="L19" i="32"/>
  <c r="L45" i="32"/>
  <c r="L43" i="32"/>
  <c r="L13" i="32"/>
  <c r="L25" i="32"/>
  <c r="D39" i="32"/>
  <c r="D8" i="32"/>
  <c r="D38" i="32"/>
  <c r="D36" i="32"/>
  <c r="D16" i="32"/>
  <c r="D10" i="32"/>
  <c r="BJ41" i="32"/>
  <c r="AC25" i="32"/>
  <c r="BJ14" i="32"/>
  <c r="L35" i="32"/>
  <c r="D26" i="32"/>
  <c r="D29" i="32"/>
  <c r="D20" i="32"/>
  <c r="BJ42" i="32"/>
  <c r="AC38" i="32"/>
  <c r="AC17" i="32"/>
  <c r="L30" i="32"/>
  <c r="L20" i="32"/>
  <c r="L14" i="32"/>
  <c r="D24" i="32"/>
  <c r="D43" i="32"/>
  <c r="D42" i="32"/>
  <c r="BJ5" i="32"/>
  <c r="BJ24" i="32"/>
  <c r="AC39" i="32"/>
  <c r="AC27" i="32"/>
  <c r="L32" i="32"/>
  <c r="L33" i="32"/>
  <c r="D30" i="32"/>
  <c r="D17" i="32"/>
  <c r="BJ35" i="32"/>
  <c r="BJ37" i="32"/>
  <c r="BJ29" i="32"/>
  <c r="AC29" i="32"/>
  <c r="AC41" i="32"/>
  <c r="AC34" i="32"/>
  <c r="BJ17" i="32"/>
  <c r="BJ15" i="32"/>
  <c r="L34" i="32"/>
  <c r="L24" i="32"/>
  <c r="L37" i="32"/>
  <c r="BJ13" i="32"/>
  <c r="BJ12" i="32"/>
  <c r="D23" i="32"/>
  <c r="D13" i="32"/>
  <c r="D18" i="32"/>
  <c r="D12" i="32"/>
  <c r="D31" i="32"/>
  <c r="D27" i="32"/>
  <c r="BJ39" i="32"/>
  <c r="AC40" i="32"/>
  <c r="L17" i="32"/>
  <c r="L40" i="32"/>
  <c r="D45" i="32"/>
  <c r="BC4" i="32"/>
  <c r="BJ33" i="32"/>
  <c r="AC43" i="32"/>
  <c r="AC21" i="32"/>
  <c r="L26" i="32"/>
  <c r="L41" i="32"/>
  <c r="BJ11" i="32"/>
  <c r="D5" i="32"/>
  <c r="D15" i="32"/>
  <c r="BJ27" i="32"/>
  <c r="AC16" i="32"/>
  <c r="L39" i="32"/>
  <c r="L36" i="32"/>
  <c r="L12" i="32"/>
  <c r="D35" i="32"/>
  <c r="BJ6" i="32"/>
  <c r="D4" i="32"/>
  <c r="E4" i="32" s="1"/>
  <c r="BJ4" i="32"/>
  <c r="E5" i="32"/>
  <c r="E6" i="32"/>
  <c r="E7" i="32"/>
  <c r="E26" i="32"/>
  <c r="E34" i="32"/>
  <c r="E12" i="32"/>
  <c r="E24" i="32"/>
  <c r="E28" i="32"/>
  <c r="E27" i="32"/>
  <c r="E14" i="32"/>
  <c r="E19" i="32"/>
  <c r="E41" i="32"/>
  <c r="E36" i="32"/>
  <c r="E32" i="32"/>
  <c r="E10" i="32"/>
  <c r="E9" i="32"/>
  <c r="E31" i="32"/>
  <c r="E30" i="32"/>
  <c r="E15" i="32"/>
  <c r="E38" i="32"/>
  <c r="E13" i="32"/>
  <c r="E8" i="32"/>
  <c r="E20" i="32"/>
  <c r="E25" i="32"/>
  <c r="E43" i="32"/>
  <c r="E39" i="32"/>
  <c r="E44" i="32"/>
  <c r="E16" i="32"/>
  <c r="E29" i="32"/>
  <c r="E33" i="32"/>
  <c r="E35" i="32"/>
  <c r="E37" i="32"/>
  <c r="E22" i="32"/>
  <c r="E17" i="32"/>
  <c r="E40" i="32"/>
  <c r="E18" i="32"/>
  <c r="E23" i="32"/>
  <c r="E45" i="32"/>
  <c r="E11" i="32"/>
  <c r="E21" i="32"/>
  <c r="E42" i="32"/>
  <c r="F42" i="32" l="1"/>
  <c r="N44" i="21" s="1"/>
  <c r="F21" i="32"/>
  <c r="N23" i="21" s="1"/>
  <c r="F11" i="32"/>
  <c r="N13" i="21" s="1"/>
  <c r="F45" i="32"/>
  <c r="F23" i="32"/>
  <c r="N25" i="21" s="1"/>
  <c r="F18" i="32"/>
  <c r="N20" i="21" s="1"/>
  <c r="F40" i="32"/>
  <c r="N42" i="21" s="1"/>
  <c r="F17" i="32"/>
  <c r="N19" i="21" s="1"/>
  <c r="F22" i="32"/>
  <c r="N24" i="21" s="1"/>
  <c r="F37" i="32"/>
  <c r="N39" i="21" s="1"/>
  <c r="F35" i="32"/>
  <c r="N37" i="21" s="1"/>
  <c r="F33" i="32"/>
  <c r="N35" i="21" s="1"/>
  <c r="F29" i="32"/>
  <c r="N31" i="21" s="1"/>
  <c r="F16" i="32"/>
  <c r="N18" i="21" s="1"/>
  <c r="F44" i="32"/>
  <c r="F39" i="32"/>
  <c r="N41" i="21" s="1"/>
  <c r="F43" i="32"/>
  <c r="N45" i="21" s="1"/>
  <c r="F25" i="32"/>
  <c r="N27" i="21" s="1"/>
  <c r="F20" i="32"/>
  <c r="N22" i="21" s="1"/>
  <c r="F8" i="32"/>
  <c r="N10" i="21" s="1"/>
  <c r="F13" i="32"/>
  <c r="N15" i="21" s="1"/>
  <c r="F38" i="32"/>
  <c r="N40" i="21" s="1"/>
  <c r="F15" i="32"/>
  <c r="N17" i="21" s="1"/>
  <c r="F30" i="32"/>
  <c r="N32" i="21" s="1"/>
  <c r="F31" i="32"/>
  <c r="N33" i="21" s="1"/>
  <c r="F9" i="32"/>
  <c r="N11" i="21" s="1"/>
  <c r="F10" i="32"/>
  <c r="N12" i="21" s="1"/>
  <c r="F32" i="32"/>
  <c r="N34" i="21" s="1"/>
  <c r="F36" i="32"/>
  <c r="N38" i="21" s="1"/>
  <c r="F41" i="32"/>
  <c r="N43" i="21" s="1"/>
  <c r="F19" i="32"/>
  <c r="N21" i="21" s="1"/>
  <c r="F14" i="32"/>
  <c r="N16" i="21" s="1"/>
  <c r="F27" i="32"/>
  <c r="N29" i="21" s="1"/>
  <c r="F28" i="32"/>
  <c r="N30" i="21" s="1"/>
  <c r="F24" i="32"/>
  <c r="N26" i="21" s="1"/>
  <c r="F12" i="32"/>
  <c r="N14" i="21" s="1"/>
  <c r="F34" i="32"/>
  <c r="N36" i="21" s="1"/>
  <c r="F26" i="32"/>
  <c r="N28" i="21" s="1"/>
  <c r="F7" i="32"/>
  <c r="N9" i="21" s="1"/>
  <c r="F6" i="32"/>
  <c r="N8" i="21" s="1"/>
  <c r="BK4" i="32"/>
  <c r="F4" i="32"/>
  <c r="F5" i="32"/>
  <c r="BK5" i="32"/>
  <c r="BK6" i="32"/>
  <c r="BK7" i="32"/>
  <c r="BK8" i="32"/>
  <c r="BK9" i="32"/>
  <c r="BK32" i="32"/>
  <c r="BK38" i="32"/>
  <c r="BK27" i="32"/>
  <c r="BK24" i="32"/>
  <c r="BK34" i="32"/>
  <c r="BK21" i="32"/>
  <c r="BK42" i="32"/>
  <c r="BK45" i="32"/>
  <c r="BK17" i="32"/>
  <c r="BK36" i="32"/>
  <c r="BK22" i="32"/>
  <c r="BK44" i="32"/>
  <c r="BK31" i="32"/>
  <c r="BK26" i="32"/>
  <c r="BK13" i="32"/>
  <c r="BK39" i="32"/>
  <c r="BK19" i="32"/>
  <c r="BK14" i="32"/>
  <c r="BK43" i="32"/>
  <c r="BK12" i="32"/>
  <c r="BK16" i="32"/>
  <c r="BK29" i="32"/>
  <c r="BK37" i="32"/>
  <c r="BK20" i="32"/>
  <c r="BK40" i="32"/>
  <c r="BK23" i="32"/>
  <c r="BK11" i="32"/>
  <c r="BK33" i="32"/>
  <c r="BK15" i="32"/>
  <c r="BK18" i="32"/>
  <c r="BK30" i="32"/>
  <c r="BK10" i="32"/>
  <c r="BK41" i="32"/>
  <c r="BK25" i="32"/>
  <c r="BK35" i="32"/>
  <c r="BK28" i="32"/>
  <c r="BL28" i="32" l="1"/>
  <c r="M30" i="21" s="1"/>
  <c r="BL35" i="32"/>
  <c r="M37" i="21" s="1"/>
  <c r="BL25" i="32"/>
  <c r="M27" i="21" s="1"/>
  <c r="BL41" i="32"/>
  <c r="M43" i="21" s="1"/>
  <c r="BL10" i="32"/>
  <c r="M12" i="21" s="1"/>
  <c r="BL30" i="32"/>
  <c r="M32" i="21" s="1"/>
  <c r="BL18" i="32"/>
  <c r="M20" i="21" s="1"/>
  <c r="BL15" i="32"/>
  <c r="M17" i="21" s="1"/>
  <c r="BL33" i="32"/>
  <c r="M35" i="21" s="1"/>
  <c r="BL11" i="32"/>
  <c r="M13" i="21" s="1"/>
  <c r="BL23" i="32"/>
  <c r="M25" i="21" s="1"/>
  <c r="BL40" i="32"/>
  <c r="M42" i="21" s="1"/>
  <c r="BL20" i="32"/>
  <c r="M22" i="21" s="1"/>
  <c r="BL37" i="32"/>
  <c r="M39" i="21" s="1"/>
  <c r="BL29" i="32"/>
  <c r="M31" i="21" s="1"/>
  <c r="BL16" i="32"/>
  <c r="M18" i="21" s="1"/>
  <c r="BL12" i="32"/>
  <c r="M14" i="21" s="1"/>
  <c r="BL43" i="32"/>
  <c r="M45" i="21" s="1"/>
  <c r="BL14" i="32"/>
  <c r="M16" i="21" s="1"/>
  <c r="BL19" i="32"/>
  <c r="M21" i="21" s="1"/>
  <c r="BL39" i="32"/>
  <c r="M41" i="21" s="1"/>
  <c r="BL13" i="32"/>
  <c r="M15" i="21" s="1"/>
  <c r="BL26" i="32"/>
  <c r="M28" i="21" s="1"/>
  <c r="BL31" i="32"/>
  <c r="M33" i="21" s="1"/>
  <c r="BL44" i="32"/>
  <c r="BL22" i="32"/>
  <c r="M24" i="21" s="1"/>
  <c r="BL36" i="32"/>
  <c r="M38" i="21" s="1"/>
  <c r="BL17" i="32"/>
  <c r="M19" i="21" s="1"/>
  <c r="BL45" i="32"/>
  <c r="BL42" i="32"/>
  <c r="M44" i="21" s="1"/>
  <c r="BL21" i="32"/>
  <c r="M23" i="21" s="1"/>
  <c r="BL34" i="32"/>
  <c r="M36" i="21" s="1"/>
  <c r="BL24" i="32"/>
  <c r="M26" i="21" s="1"/>
  <c r="BL27" i="32"/>
  <c r="M29" i="21" s="1"/>
  <c r="BL38" i="32"/>
  <c r="M40" i="21" s="1"/>
  <c r="BL32" i="32"/>
  <c r="M34" i="21" s="1"/>
  <c r="BL9" i="32"/>
  <c r="M11" i="21" s="1"/>
  <c r="N7" i="21"/>
  <c r="N4" i="21" s="1"/>
  <c r="N6" i="21"/>
  <c r="BL4" i="32"/>
  <c r="BL5" i="32"/>
  <c r="BL8" i="32"/>
  <c r="BL7" i="32"/>
  <c r="BL6" i="32"/>
  <c r="M8" i="21" l="1"/>
  <c r="M9" i="21"/>
  <c r="M4" i="21" s="1"/>
  <c r="F26" i="10" s="1"/>
  <c r="M10" i="21"/>
  <c r="M7" i="21"/>
  <c r="M6" i="21"/>
  <c r="C13" i="10"/>
  <c r="J4" i="32"/>
  <c r="J5" i="32"/>
  <c r="J6" i="32"/>
  <c r="J7" i="32"/>
  <c r="J11" i="32"/>
  <c r="J31" i="32"/>
  <c r="J28" i="32"/>
  <c r="J36" i="32"/>
  <c r="J33" i="32"/>
  <c r="J15" i="32"/>
  <c r="J40" i="32"/>
  <c r="J29" i="32"/>
  <c r="J26" i="32"/>
  <c r="J35" i="32"/>
  <c r="J39" i="32"/>
  <c r="J25" i="32"/>
  <c r="J43" i="32"/>
  <c r="J32" i="32"/>
  <c r="J38" i="32"/>
  <c r="J22" i="32"/>
  <c r="J8" i="32"/>
  <c r="J42" i="32"/>
  <c r="J19" i="32"/>
  <c r="J14" i="32"/>
  <c r="J41" i="32"/>
  <c r="J27" i="32"/>
  <c r="J44" i="32"/>
  <c r="J18" i="32"/>
  <c r="J12" i="32"/>
  <c r="J30" i="32"/>
  <c r="J45" i="32"/>
  <c r="J16" i="32"/>
  <c r="J17" i="32"/>
  <c r="J24" i="32"/>
  <c r="J34" i="32"/>
  <c r="J10" i="32"/>
  <c r="J23" i="32"/>
  <c r="J37" i="32"/>
  <c r="J20" i="32"/>
  <c r="J13" i="32"/>
  <c r="J21" i="32"/>
  <c r="J9" i="32"/>
  <c r="K9" i="32" l="1"/>
  <c r="K21" i="32"/>
  <c r="K13" i="32"/>
  <c r="K20" i="32"/>
  <c r="K37" i="32"/>
  <c r="K23" i="32"/>
  <c r="K10" i="32"/>
  <c r="K34" i="32"/>
  <c r="K24" i="32"/>
  <c r="K17" i="32"/>
  <c r="K16" i="32"/>
  <c r="K45" i="32"/>
  <c r="K30" i="32"/>
  <c r="K12" i="32"/>
  <c r="K18" i="32"/>
  <c r="K44" i="32"/>
  <c r="K27" i="32"/>
  <c r="K41" i="32"/>
  <c r="K14" i="32"/>
  <c r="K19" i="32"/>
  <c r="K42" i="32"/>
  <c r="K8" i="32"/>
  <c r="K22" i="32"/>
  <c r="K38" i="32"/>
  <c r="K32" i="32"/>
  <c r="K43" i="32"/>
  <c r="K25" i="32"/>
  <c r="K39" i="32"/>
  <c r="K35" i="32"/>
  <c r="K26" i="32"/>
  <c r="K29" i="32"/>
  <c r="K40" i="32"/>
  <c r="K15" i="32"/>
  <c r="K33" i="32"/>
  <c r="K36" i="32"/>
  <c r="K28" i="32"/>
  <c r="K31" i="32"/>
  <c r="K11" i="32"/>
  <c r="K7" i="32"/>
  <c r="C3" i="11"/>
  <c r="C17" i="1" s="1"/>
  <c r="C23" i="11"/>
  <c r="K5" i="32"/>
  <c r="K4" i="32"/>
  <c r="C11" i="11"/>
  <c r="C12" i="11"/>
  <c r="K6" i="32"/>
  <c r="L4" i="32"/>
  <c r="L7" i="32"/>
  <c r="L6" i="32"/>
  <c r="L5" i="32"/>
  <c r="L8" i="32"/>
  <c r="F30" i="1" l="1"/>
  <c r="D30" i="1"/>
  <c r="G30" i="1"/>
  <c r="M4" i="32"/>
  <c r="M5" i="32"/>
  <c r="M6" i="32"/>
  <c r="M7" i="32"/>
  <c r="M34" i="32"/>
  <c r="M19" i="32"/>
  <c r="M13" i="32"/>
  <c r="M17" i="32"/>
  <c r="M45" i="32"/>
  <c r="M41" i="32"/>
  <c r="M8" i="32"/>
  <c r="M35" i="32"/>
  <c r="M24" i="32"/>
  <c r="M37" i="32"/>
  <c r="M12" i="32"/>
  <c r="M32" i="32"/>
  <c r="M26" i="32"/>
  <c r="M18" i="32"/>
  <c r="M36" i="32"/>
  <c r="M27" i="32"/>
  <c r="M31" i="32"/>
  <c r="M10" i="32"/>
  <c r="M40" i="32"/>
  <c r="M25" i="32"/>
  <c r="M21" i="32"/>
  <c r="M43" i="32"/>
  <c r="M33" i="32"/>
  <c r="M38" i="32"/>
  <c r="M42" i="32"/>
  <c r="M39" i="32"/>
  <c r="M22" i="32"/>
  <c r="M23" i="32"/>
  <c r="M15" i="32"/>
  <c r="M14" i="32"/>
  <c r="M20" i="32"/>
  <c r="M29" i="32"/>
  <c r="M9" i="32"/>
  <c r="M11" i="32"/>
  <c r="M44" i="32"/>
  <c r="M28" i="32"/>
  <c r="M30" i="32"/>
  <c r="M16" i="32"/>
  <c r="N16" i="32" l="1"/>
  <c r="O16" i="32" s="1"/>
  <c r="N30" i="32"/>
  <c r="O30" i="32" s="1"/>
  <c r="N28" i="32"/>
  <c r="O28" i="32" s="1"/>
  <c r="N44" i="32"/>
  <c r="O44" i="32" s="1"/>
  <c r="N11" i="32"/>
  <c r="O11" i="32" s="1"/>
  <c r="N9" i="32"/>
  <c r="O9" i="32" s="1"/>
  <c r="N29" i="32"/>
  <c r="O29" i="32" s="1"/>
  <c r="N20" i="32"/>
  <c r="O20" i="32" s="1"/>
  <c r="N14" i="32"/>
  <c r="O14" i="32" s="1"/>
  <c r="N15" i="32"/>
  <c r="O15" i="32" s="1"/>
  <c r="N23" i="32"/>
  <c r="O23" i="32" s="1"/>
  <c r="N22" i="32"/>
  <c r="O22" i="32" s="1"/>
  <c r="N39" i="32"/>
  <c r="O39" i="32" s="1"/>
  <c r="N42" i="32"/>
  <c r="O42" i="32" s="1"/>
  <c r="N38" i="32"/>
  <c r="O38" i="32" s="1"/>
  <c r="N33" i="32"/>
  <c r="O33" i="32" s="1"/>
  <c r="N43" i="32"/>
  <c r="O43" i="32" s="1"/>
  <c r="N21" i="32"/>
  <c r="O21" i="32" s="1"/>
  <c r="N25" i="32"/>
  <c r="O25" i="32" s="1"/>
  <c r="N40" i="32"/>
  <c r="O40" i="32" s="1"/>
  <c r="N10" i="32"/>
  <c r="O10" i="32" s="1"/>
  <c r="N31" i="32"/>
  <c r="O31" i="32" s="1"/>
  <c r="N27" i="32"/>
  <c r="O27" i="32" s="1"/>
  <c r="N36" i="32"/>
  <c r="O36" i="32" s="1"/>
  <c r="N18" i="32"/>
  <c r="O18" i="32" s="1"/>
  <c r="N26" i="32"/>
  <c r="O26" i="32" s="1"/>
  <c r="N32" i="32"/>
  <c r="O32" i="32" s="1"/>
  <c r="N12" i="32"/>
  <c r="O12" i="32" s="1"/>
  <c r="N37" i="32"/>
  <c r="O37" i="32" s="1"/>
  <c r="N24" i="32"/>
  <c r="O24" i="32" s="1"/>
  <c r="N35" i="32"/>
  <c r="O35" i="32" s="1"/>
  <c r="N8" i="32"/>
  <c r="O8" i="32" s="1"/>
  <c r="N41" i="32"/>
  <c r="O41" i="32" s="1"/>
  <c r="N45" i="32"/>
  <c r="O45" i="32" s="1"/>
  <c r="N17" i="32"/>
  <c r="O17" i="32" s="1"/>
  <c r="N13" i="32"/>
  <c r="O13" i="32" s="1"/>
  <c r="N19" i="32"/>
  <c r="O19" i="32" s="1"/>
  <c r="N34" i="32"/>
  <c r="O34" i="32" s="1"/>
  <c r="N7" i="32"/>
  <c r="O7" i="32" s="1"/>
  <c r="N4" i="32"/>
  <c r="N5" i="32"/>
  <c r="N6" i="32"/>
  <c r="O4" i="32"/>
  <c r="O5" i="32"/>
  <c r="O6" i="32"/>
  <c r="P4" i="32"/>
  <c r="P5" i="32"/>
  <c r="P6" i="32"/>
  <c r="P7" i="32"/>
  <c r="P35" i="32"/>
  <c r="P41" i="32"/>
  <c r="P25" i="32"/>
  <c r="P11" i="32"/>
  <c r="P26" i="32"/>
  <c r="P45" i="32"/>
  <c r="P27" i="32"/>
  <c r="P38" i="32"/>
  <c r="P24" i="32"/>
  <c r="P32" i="32"/>
  <c r="P13" i="32"/>
  <c r="P22" i="32"/>
  <c r="P21" i="32"/>
  <c r="P44" i="32"/>
  <c r="P36" i="32"/>
  <c r="P16" i="32"/>
  <c r="P37" i="32"/>
  <c r="P30" i="32"/>
  <c r="P17" i="32"/>
  <c r="P12" i="32"/>
  <c r="P43" i="32"/>
  <c r="P9" i="32"/>
  <c r="P29" i="32"/>
  <c r="P8" i="32"/>
  <c r="P40" i="32"/>
  <c r="P31" i="32"/>
  <c r="P34" i="32"/>
  <c r="P15" i="32"/>
  <c r="P28" i="32"/>
  <c r="P23" i="32"/>
  <c r="P39" i="32"/>
  <c r="P19" i="32"/>
  <c r="P42" i="32"/>
  <c r="P14" i="32"/>
  <c r="P18" i="32"/>
  <c r="P33" i="32"/>
  <c r="P10" i="32"/>
  <c r="P20" i="32"/>
  <c r="Q20" i="32" l="1"/>
  <c r="G22" i="21" s="1"/>
  <c r="Q10" i="32"/>
  <c r="G12" i="21" s="1"/>
  <c r="Q33" i="32"/>
  <c r="G35" i="21" s="1"/>
  <c r="Q18" i="32"/>
  <c r="G20" i="21" s="1"/>
  <c r="Q14" i="32"/>
  <c r="G16" i="21" s="1"/>
  <c r="Q42" i="32"/>
  <c r="G44" i="21" s="1"/>
  <c r="Q19" i="32"/>
  <c r="G21" i="21" s="1"/>
  <c r="Q39" i="32"/>
  <c r="G41" i="21" s="1"/>
  <c r="Q23" i="32"/>
  <c r="G25" i="21" s="1"/>
  <c r="Q28" i="32"/>
  <c r="G30" i="21" s="1"/>
  <c r="Q15" i="32"/>
  <c r="G17" i="21" s="1"/>
  <c r="Q34" i="32"/>
  <c r="G36" i="21" s="1"/>
  <c r="Q31" i="32"/>
  <c r="G33" i="21" s="1"/>
  <c r="Q40" i="32"/>
  <c r="G42" i="21" s="1"/>
  <c r="Q8" i="32"/>
  <c r="G10" i="21" s="1"/>
  <c r="Q29" i="32"/>
  <c r="G31" i="21" s="1"/>
  <c r="Q9" i="32"/>
  <c r="G11" i="21" s="1"/>
  <c r="Q43" i="32"/>
  <c r="G45" i="21" s="1"/>
  <c r="Q12" i="32"/>
  <c r="G14" i="21" s="1"/>
  <c r="Q17" i="32"/>
  <c r="G19" i="21" s="1"/>
  <c r="Q30" i="32"/>
  <c r="G32" i="21" s="1"/>
  <c r="Q37" i="32"/>
  <c r="G39" i="21" s="1"/>
  <c r="Q16" i="32"/>
  <c r="G18" i="21" s="1"/>
  <c r="Q36" i="32"/>
  <c r="G38" i="21" s="1"/>
  <c r="Q44" i="32"/>
  <c r="Q21" i="32"/>
  <c r="G23" i="21" s="1"/>
  <c r="Q22" i="32"/>
  <c r="G24" i="21" s="1"/>
  <c r="Q13" i="32"/>
  <c r="G15" i="21" s="1"/>
  <c r="Q32" i="32"/>
  <c r="G34" i="21" s="1"/>
  <c r="Q24" i="32"/>
  <c r="G26" i="21" s="1"/>
  <c r="Q38" i="32"/>
  <c r="G40" i="21" s="1"/>
  <c r="Q27" i="32"/>
  <c r="G29" i="21" s="1"/>
  <c r="Q45" i="32"/>
  <c r="Q26" i="32"/>
  <c r="G28" i="21" s="1"/>
  <c r="Q11" i="32"/>
  <c r="G13" i="21" s="1"/>
  <c r="Q25" i="32"/>
  <c r="G27" i="21" s="1"/>
  <c r="Q41" i="32"/>
  <c r="G43" i="21" s="1"/>
  <c r="Q35" i="32"/>
  <c r="G37" i="21" s="1"/>
  <c r="Q7" i="32"/>
  <c r="G9" i="21" s="1"/>
  <c r="Q6" i="32"/>
  <c r="Q5" i="32"/>
  <c r="Q4" i="32"/>
  <c r="G6" i="21" l="1"/>
  <c r="G4" i="21" s="1"/>
  <c r="G7" i="21"/>
  <c r="G8" i="21"/>
  <c r="D3" i="10" l="1"/>
  <c r="B5" i="21"/>
  <c r="K18" i="1"/>
  <c r="S4" i="32"/>
  <c r="AW4" i="35"/>
  <c r="AW5" i="35"/>
  <c r="AW6" i="35"/>
  <c r="B4" i="35"/>
  <c r="B5" i="35"/>
  <c r="AW7" i="35"/>
  <c r="H4" i="35"/>
  <c r="AW8" i="35"/>
  <c r="AW4" i="32"/>
  <c r="AW9" i="35"/>
  <c r="S4" i="35"/>
  <c r="S5" i="35"/>
  <c r="S5" i="32"/>
  <c r="T5" i="32"/>
  <c r="AX8" i="35"/>
  <c r="AX7" i="35"/>
  <c r="AX6" i="35"/>
  <c r="AX5" i="35"/>
  <c r="AX9" i="35"/>
  <c r="B6" i="35"/>
  <c r="C4" i="35"/>
  <c r="C5" i="35"/>
  <c r="C6" i="35"/>
  <c r="H5" i="35"/>
  <c r="I5" i="35"/>
  <c r="I4" i="35"/>
  <c r="AW5" i="32"/>
  <c r="AW6" i="32"/>
  <c r="AX6" i="32"/>
  <c r="AX5" i="32"/>
  <c r="AW10" i="35"/>
  <c r="S6" i="35"/>
  <c r="S7" i="35"/>
  <c r="S8" i="35"/>
  <c r="T5" i="35"/>
  <c r="T8" i="35"/>
  <c r="T6" i="35"/>
  <c r="T7" i="35"/>
  <c r="S6" i="32"/>
  <c r="S7" i="32"/>
  <c r="B7" i="35"/>
  <c r="B8" i="35"/>
  <c r="H6" i="35"/>
  <c r="AW7" i="32"/>
  <c r="AW11" i="35"/>
  <c r="AX10" i="35"/>
  <c r="AX11" i="35"/>
  <c r="AW12" i="35"/>
  <c r="S9" i="35"/>
  <c r="S8" i="32"/>
  <c r="T6" i="32"/>
  <c r="T7" i="32"/>
  <c r="T8" i="32"/>
  <c r="S9" i="32"/>
  <c r="B9" i="35"/>
  <c r="C7" i="35"/>
  <c r="C9" i="35"/>
  <c r="C8" i="35"/>
  <c r="H7" i="35"/>
  <c r="H8" i="35"/>
  <c r="I7" i="35"/>
  <c r="I8" i="35"/>
  <c r="I6" i="35"/>
  <c r="AW8" i="32"/>
  <c r="AX8" i="32"/>
  <c r="AX7" i="32"/>
  <c r="AW13" i="35"/>
  <c r="AX12" i="35"/>
  <c r="AX13" i="35"/>
  <c r="T9" i="35"/>
  <c r="S10" i="35"/>
  <c r="S10" i="32"/>
  <c r="S11" i="32"/>
  <c r="T10" i="32"/>
  <c r="T11" i="32"/>
  <c r="T9" i="32"/>
  <c r="B10" i="35"/>
  <c r="H9" i="35"/>
  <c r="AW9" i="32"/>
  <c r="AW14" i="35"/>
  <c r="AW15" i="35"/>
  <c r="T10" i="35"/>
  <c r="S11" i="35"/>
  <c r="S12" i="32"/>
  <c r="B11" i="35"/>
  <c r="B12" i="35"/>
  <c r="C12" i="35"/>
  <c r="C11" i="35"/>
  <c r="C10" i="35"/>
  <c r="I9" i="35"/>
  <c r="H10" i="35"/>
  <c r="AW10" i="32"/>
  <c r="AW11" i="32"/>
  <c r="AX9" i="32"/>
  <c r="AX10" i="32"/>
  <c r="AX11" i="32"/>
  <c r="AW16" i="35"/>
  <c r="AX15" i="35"/>
  <c r="AX14" i="35"/>
  <c r="AX16" i="35"/>
  <c r="AW17" i="35"/>
  <c r="S12" i="35"/>
  <c r="T11" i="35"/>
  <c r="T12" i="35"/>
  <c r="T12" i="32"/>
  <c r="S13" i="32"/>
  <c r="B13" i="35"/>
  <c r="I10" i="35"/>
  <c r="H11" i="35"/>
  <c r="H34" i="35"/>
  <c r="H23" i="35"/>
  <c r="H28" i="35"/>
  <c r="H29" i="35"/>
  <c r="H33" i="35"/>
  <c r="H21" i="35"/>
  <c r="H22" i="35"/>
  <c r="H20" i="35"/>
  <c r="H42" i="35"/>
  <c r="H36" i="35"/>
  <c r="H14" i="35"/>
  <c r="H43" i="35"/>
  <c r="H13" i="35"/>
  <c r="H45" i="35"/>
  <c r="H24" i="35"/>
  <c r="H44" i="35"/>
  <c r="H35" i="35"/>
  <c r="H39" i="35"/>
  <c r="H41" i="35"/>
  <c r="H37" i="35"/>
  <c r="H25" i="35"/>
  <c r="H38" i="35"/>
  <c r="AW12" i="32"/>
  <c r="AW18" i="35"/>
  <c r="AW25" i="35"/>
  <c r="AW40" i="35"/>
  <c r="AW42" i="35"/>
  <c r="AW43" i="35"/>
  <c r="AW22" i="35"/>
  <c r="AW19" i="35"/>
  <c r="AW41" i="35"/>
  <c r="AW21" i="35"/>
  <c r="AW23" i="35"/>
  <c r="AW37" i="35"/>
  <c r="AW28" i="35"/>
  <c r="AW36" i="35"/>
  <c r="AX27" i="35"/>
  <c r="AX28" i="35"/>
  <c r="AX40" i="35"/>
  <c r="AX19" i="35"/>
  <c r="AX32" i="35"/>
  <c r="AX17" i="35"/>
  <c r="AX24" i="35"/>
  <c r="AX42" i="35"/>
  <c r="AX35" i="35"/>
  <c r="AX44" i="35"/>
  <c r="AX22" i="35"/>
  <c r="AX21" i="35"/>
  <c r="AX30" i="35"/>
  <c r="AX25" i="35"/>
  <c r="AX43" i="35"/>
  <c r="AX34" i="35"/>
  <c r="AX18" i="35"/>
  <c r="AX36" i="35"/>
  <c r="AX29" i="35"/>
  <c r="AX31" i="35"/>
  <c r="AX45" i="35"/>
  <c r="AX26" i="35"/>
  <c r="AX33" i="35"/>
  <c r="AX23" i="35"/>
  <c r="AX41" i="35"/>
  <c r="AX38" i="35"/>
  <c r="AX37" i="35"/>
  <c r="AX20" i="35"/>
  <c r="AX39" i="35"/>
  <c r="AW27" i="35"/>
  <c r="AW29" i="35"/>
  <c r="AW24" i="35"/>
  <c r="AW35" i="35"/>
  <c r="AW33" i="35"/>
  <c r="AW45" i="35"/>
  <c r="AW38" i="35"/>
  <c r="AW20" i="35"/>
  <c r="AW31" i="35"/>
  <c r="AW30" i="35"/>
  <c r="S13" i="35"/>
  <c r="S14" i="35"/>
  <c r="T13" i="32"/>
  <c r="S14" i="32"/>
  <c r="S15" i="32"/>
  <c r="S16" i="32"/>
  <c r="B14" i="35"/>
  <c r="B38" i="35"/>
  <c r="B36" i="35"/>
  <c r="B30" i="35"/>
  <c r="B24" i="35"/>
  <c r="B27" i="35"/>
  <c r="B23" i="35"/>
  <c r="B40" i="35"/>
  <c r="B35" i="35"/>
  <c r="B42" i="35"/>
  <c r="B43" i="35"/>
  <c r="B44" i="35"/>
  <c r="B39" i="35"/>
  <c r="B34" i="35"/>
  <c r="B32" i="35"/>
  <c r="B50" i="35"/>
  <c r="B48" i="35"/>
  <c r="C13" i="35"/>
  <c r="C16" i="35"/>
  <c r="C26" i="35"/>
  <c r="C21" i="35"/>
  <c r="C40" i="35"/>
  <c r="C17" i="35"/>
  <c r="C37" i="35"/>
  <c r="C31" i="35"/>
  <c r="C50" i="35"/>
  <c r="C23" i="35"/>
  <c r="C51" i="35"/>
  <c r="C38" i="35"/>
  <c r="C47" i="35"/>
  <c r="C33" i="35"/>
  <c r="C14" i="35"/>
  <c r="C28" i="35"/>
  <c r="C15" i="35"/>
  <c r="C30" i="35"/>
  <c r="C35" i="35"/>
  <c r="C49" i="35"/>
  <c r="C41" i="35"/>
  <c r="C39" i="35"/>
  <c r="C22" i="35"/>
  <c r="C48" i="35"/>
  <c r="C46" i="35"/>
  <c r="C36" i="35"/>
  <c r="C25" i="35"/>
  <c r="C29" i="35"/>
  <c r="C45" i="35"/>
  <c r="C24" i="35"/>
  <c r="C32" i="35"/>
  <c r="C34" i="35"/>
  <c r="C27" i="35"/>
  <c r="C19" i="35"/>
  <c r="C18" i="35"/>
  <c r="C20" i="35"/>
  <c r="C43" i="35"/>
  <c r="C44" i="35"/>
  <c r="C42" i="35"/>
  <c r="B16" i="35"/>
  <c r="H18" i="35"/>
  <c r="H31" i="35"/>
  <c r="I16" i="35"/>
  <c r="I26" i="35"/>
  <c r="I22" i="35"/>
  <c r="I31" i="35"/>
  <c r="I18" i="35"/>
  <c r="I25" i="35"/>
  <c r="I28" i="35"/>
  <c r="I29" i="35"/>
  <c r="I24" i="35"/>
  <c r="I19" i="35"/>
  <c r="I21" i="35"/>
  <c r="I30" i="35"/>
  <c r="I36" i="35"/>
  <c r="I39" i="35"/>
  <c r="I34" i="35"/>
  <c r="I43" i="35"/>
  <c r="I13" i="35"/>
  <c r="I41" i="35"/>
  <c r="I35" i="35"/>
  <c r="I44" i="35"/>
  <c r="I20" i="35"/>
  <c r="I32" i="35"/>
  <c r="I14" i="35"/>
  <c r="I45" i="35"/>
  <c r="I37" i="35"/>
  <c r="I40" i="35"/>
  <c r="I38" i="35"/>
  <c r="I11" i="35"/>
  <c r="I33" i="35"/>
  <c r="I42" i="35"/>
  <c r="I17" i="35"/>
  <c r="I15" i="35"/>
  <c r="I27" i="35"/>
  <c r="I23" i="35"/>
  <c r="I12" i="35"/>
  <c r="H32" i="35"/>
  <c r="H40" i="35"/>
  <c r="H27" i="35"/>
  <c r="H30" i="35"/>
  <c r="H15" i="35"/>
  <c r="H12" i="35"/>
  <c r="H17" i="35"/>
  <c r="H19" i="35"/>
  <c r="H26" i="35"/>
  <c r="H16" i="35"/>
  <c r="AX12" i="32"/>
  <c r="AW13" i="32"/>
  <c r="AW32" i="35"/>
  <c r="AW39" i="35"/>
  <c r="AW34" i="35"/>
  <c r="AW44" i="35"/>
  <c r="AW26" i="35"/>
  <c r="S15" i="35"/>
  <c r="T15" i="35"/>
  <c r="T13" i="35"/>
  <c r="T14" i="35"/>
  <c r="T16" i="32"/>
  <c r="T14" i="32"/>
  <c r="T15" i="32"/>
  <c r="S17" i="32"/>
  <c r="B46" i="35"/>
  <c r="B33" i="35"/>
  <c r="B41" i="35"/>
  <c r="B45" i="35"/>
  <c r="B28" i="35"/>
  <c r="B17" i="35"/>
  <c r="B18" i="35"/>
  <c r="B31" i="35"/>
  <c r="B51" i="35"/>
  <c r="B20" i="35"/>
  <c r="B19" i="35"/>
  <c r="B49" i="35"/>
  <c r="B26" i="35"/>
  <c r="B25" i="35"/>
  <c r="B47" i="35"/>
  <c r="B29" i="35"/>
  <c r="B37" i="35"/>
  <c r="B15" i="35"/>
  <c r="B22" i="35"/>
  <c r="B21" i="35"/>
  <c r="AX13" i="32"/>
  <c r="AW14" i="32"/>
  <c r="S16" i="35"/>
  <c r="S18" i="32"/>
  <c r="S20" i="32"/>
  <c r="T45" i="32"/>
  <c r="T33" i="32"/>
  <c r="T42" i="32"/>
  <c r="T43" i="32"/>
  <c r="T40" i="32"/>
  <c r="T29" i="32"/>
  <c r="T20" i="32"/>
  <c r="T41" i="32"/>
  <c r="T22" i="32"/>
  <c r="T36" i="32"/>
  <c r="T35" i="32"/>
  <c r="T26" i="32"/>
  <c r="T44" i="32"/>
  <c r="T37" i="32"/>
  <c r="T34" i="32"/>
  <c r="T39" i="32"/>
  <c r="T31" i="32"/>
  <c r="T23" i="32"/>
  <c r="T32" i="32"/>
  <c r="T19" i="32"/>
  <c r="T24" i="32"/>
  <c r="T18" i="32"/>
  <c r="T25" i="32"/>
  <c r="T17" i="32"/>
  <c r="T27" i="32"/>
  <c r="T21" i="32"/>
  <c r="T30" i="32"/>
  <c r="T38" i="32"/>
  <c r="T28" i="32"/>
  <c r="S34" i="32"/>
  <c r="S27" i="32"/>
  <c r="S43" i="32"/>
  <c r="S39" i="32"/>
  <c r="S33" i="32"/>
  <c r="S19" i="32"/>
  <c r="S30" i="32"/>
  <c r="S31" i="32"/>
  <c r="S32" i="32"/>
  <c r="S42" i="32"/>
  <c r="S28" i="32"/>
  <c r="S26" i="32"/>
  <c r="S29" i="32"/>
  <c r="S45" i="32"/>
  <c r="S44" i="32"/>
  <c r="S36" i="32"/>
  <c r="S38" i="32"/>
  <c r="AX14" i="32"/>
  <c r="AW15" i="32"/>
  <c r="S17" i="35"/>
  <c r="T16" i="35"/>
  <c r="T17" i="35"/>
  <c r="S21" i="32"/>
  <c r="S23" i="32"/>
  <c r="S24" i="32"/>
  <c r="S35" i="32"/>
  <c r="S40" i="32"/>
  <c r="S37" i="32"/>
  <c r="S22" i="32"/>
  <c r="S25" i="32"/>
  <c r="S41" i="32"/>
  <c r="AX15" i="32"/>
  <c r="AW16" i="32"/>
  <c r="AW17" i="32"/>
  <c r="S18" i="35"/>
  <c r="S44" i="35"/>
  <c r="S38" i="35"/>
  <c r="S37" i="35"/>
  <c r="S36" i="35"/>
  <c r="S33" i="35"/>
  <c r="S31" i="35"/>
  <c r="S39" i="35"/>
  <c r="S30" i="35"/>
  <c r="AX16" i="32"/>
  <c r="AX17" i="32"/>
  <c r="AW18" i="32"/>
  <c r="AW23" i="32"/>
  <c r="AW35" i="32"/>
  <c r="AW43" i="32"/>
  <c r="S29" i="35"/>
  <c r="S20" i="35"/>
  <c r="S41" i="35"/>
  <c r="S22" i="35"/>
  <c r="S40" i="35"/>
  <c r="S43" i="35"/>
  <c r="S42" i="35"/>
  <c r="S34" i="35"/>
  <c r="S45" i="35"/>
  <c r="S32" i="35"/>
  <c r="S19" i="35"/>
  <c r="T28" i="35"/>
  <c r="T27" i="35"/>
  <c r="T19" i="35"/>
  <c r="T33" i="35"/>
  <c r="T45" i="35"/>
  <c r="T24" i="35"/>
  <c r="T38" i="35"/>
  <c r="T40" i="35"/>
  <c r="T31" i="35"/>
  <c r="T22" i="35"/>
  <c r="T43" i="35"/>
  <c r="T18" i="35"/>
  <c r="T32" i="35"/>
  <c r="T41" i="35"/>
  <c r="T34" i="35"/>
  <c r="T21" i="35"/>
  <c r="T23" i="35"/>
  <c r="T42" i="35"/>
  <c r="T35" i="35"/>
  <c r="T36" i="35"/>
  <c r="T39" i="35"/>
  <c r="T30" i="35"/>
  <c r="T26" i="35"/>
  <c r="T29" i="35"/>
  <c r="T37" i="35"/>
  <c r="T44" i="35"/>
  <c r="T20" i="35"/>
  <c r="T25" i="35"/>
  <c r="S21" i="35"/>
  <c r="S27" i="35"/>
  <c r="S23" i="35"/>
  <c r="S26" i="35"/>
  <c r="S28" i="35"/>
  <c r="S24" i="35"/>
  <c r="S35" i="35"/>
  <c r="S25" i="35"/>
  <c r="AW42" i="32"/>
  <c r="AW34" i="32"/>
  <c r="AW44" i="32"/>
  <c r="AW28" i="32"/>
  <c r="AW36" i="32"/>
  <c r="AW26" i="32"/>
  <c r="AW45" i="32"/>
  <c r="AW24" i="32"/>
  <c r="AW40" i="32"/>
  <c r="AW39" i="32"/>
  <c r="AW31" i="32"/>
  <c r="AX24" i="32"/>
  <c r="AX34" i="32"/>
  <c r="AX18" i="32"/>
  <c r="AX27" i="32"/>
  <c r="AX25" i="32"/>
  <c r="AX44" i="32"/>
  <c r="AX38" i="32"/>
  <c r="AX29" i="32"/>
  <c r="AX20" i="32"/>
  <c r="AX39" i="32"/>
  <c r="AX42" i="32"/>
  <c r="AX32" i="32"/>
  <c r="AX45" i="32"/>
  <c r="AX22" i="32"/>
  <c r="AX23" i="32"/>
  <c r="AX40" i="32"/>
  <c r="AX33" i="32"/>
  <c r="AX43" i="32"/>
  <c r="AX28" i="32"/>
  <c r="AX30" i="32"/>
  <c r="AX19" i="32"/>
  <c r="AX26" i="32"/>
  <c r="AX35" i="32"/>
  <c r="AX31" i="32"/>
  <c r="AX36" i="32"/>
  <c r="AX41" i="32"/>
  <c r="AX37" i="32"/>
  <c r="AX21" i="32"/>
  <c r="AW29" i="32"/>
  <c r="AW25" i="32"/>
  <c r="AW20" i="32"/>
  <c r="AW33" i="32"/>
  <c r="AW27" i="32"/>
  <c r="AW19" i="32"/>
  <c r="AW32" i="32"/>
  <c r="AW37" i="32"/>
  <c r="AW41" i="32"/>
  <c r="AW21" i="32"/>
  <c r="AW38" i="32"/>
  <c r="AW22" i="32"/>
  <c r="AW30" i="32"/>
  <c r="H3" i="10" l="1"/>
  <c r="H4" i="10" s="1"/>
  <c r="D5" i="37"/>
  <c r="D6" i="37" s="1"/>
  <c r="D9" i="37" s="1"/>
  <c r="I48" i="1" s="1"/>
  <c r="C4" i="11"/>
  <c r="C19" i="1" s="1"/>
  <c r="AY21" i="32"/>
  <c r="AY30" i="32"/>
  <c r="AY32" i="32"/>
  <c r="AY27" i="32"/>
  <c r="U29" i="35"/>
  <c r="U21" i="35"/>
  <c r="U40" i="35"/>
  <c r="AY17" i="32"/>
  <c r="U30" i="32"/>
  <c r="U32" i="32"/>
  <c r="U35" i="32"/>
  <c r="U42" i="32"/>
  <c r="U13" i="35"/>
  <c r="L42" i="35"/>
  <c r="L32" i="35"/>
  <c r="L39" i="35"/>
  <c r="L25" i="35"/>
  <c r="D43" i="35"/>
  <c r="D45" i="35"/>
  <c r="D40" i="35"/>
  <c r="AY37" i="35"/>
  <c r="AY40" i="35"/>
  <c r="U8" i="32"/>
  <c r="AY7" i="35"/>
  <c r="AY29" i="32"/>
  <c r="U18" i="35"/>
  <c r="U25" i="32"/>
  <c r="U20" i="32"/>
  <c r="L41" i="35"/>
  <c r="D15" i="35"/>
  <c r="D13" i="35"/>
  <c r="U12" i="32"/>
  <c r="AY23" i="32"/>
  <c r="U43" i="35"/>
  <c r="U18" i="32"/>
  <c r="L27" i="35"/>
  <c r="L16" i="35"/>
  <c r="D31" i="35"/>
  <c r="AY17" i="35"/>
  <c r="D6" i="35"/>
  <c r="AY37" i="32"/>
  <c r="AY28" i="32"/>
  <c r="AY42" i="32"/>
  <c r="AY18" i="32"/>
  <c r="U26" i="35"/>
  <c r="U34" i="35"/>
  <c r="U38" i="35"/>
  <c r="AY16" i="32"/>
  <c r="U21" i="32"/>
  <c r="U23" i="32"/>
  <c r="U36" i="32"/>
  <c r="U33" i="32"/>
  <c r="U15" i="35"/>
  <c r="L33" i="35"/>
  <c r="L20" i="35"/>
  <c r="L36" i="35"/>
  <c r="L18" i="35"/>
  <c r="D20" i="35"/>
  <c r="D29" i="35"/>
  <c r="D49" i="35"/>
  <c r="D38" i="35"/>
  <c r="D21" i="35"/>
  <c r="AY38" i="35"/>
  <c r="AY36" i="35"/>
  <c r="AY44" i="35"/>
  <c r="AY28" i="35"/>
  <c r="AY15" i="35"/>
  <c r="U10" i="35"/>
  <c r="AY8" i="32"/>
  <c r="U7" i="32"/>
  <c r="AY5" i="32"/>
  <c r="AY5" i="35"/>
  <c r="T4" i="32"/>
  <c r="D30" i="35"/>
  <c r="AY23" i="35"/>
  <c r="AY42" i="35"/>
  <c r="AY10" i="32"/>
  <c r="AY31" i="32"/>
  <c r="L40" i="35"/>
  <c r="D46" i="35"/>
  <c r="AY24" i="35"/>
  <c r="D4" i="10"/>
  <c r="U35" i="35"/>
  <c r="U29" i="32"/>
  <c r="L13" i="35"/>
  <c r="D28" i="35"/>
  <c r="U12" i="35"/>
  <c r="U5" i="32"/>
  <c r="AY41" i="32"/>
  <c r="AY43" i="32"/>
  <c r="AY39" i="32"/>
  <c r="AY34" i="32"/>
  <c r="U30" i="35"/>
  <c r="U41" i="35"/>
  <c r="U24" i="35"/>
  <c r="AY15" i="32"/>
  <c r="U27" i="32"/>
  <c r="U31" i="32"/>
  <c r="U22" i="32"/>
  <c r="U45" i="32"/>
  <c r="AY12" i="32"/>
  <c r="L11" i="35"/>
  <c r="L44" i="35"/>
  <c r="L30" i="35"/>
  <c r="L31" i="35"/>
  <c r="D18" i="35"/>
  <c r="D25" i="35"/>
  <c r="D35" i="35"/>
  <c r="D51" i="35"/>
  <c r="D26" i="35"/>
  <c r="AY41" i="35"/>
  <c r="AY18" i="35"/>
  <c r="AY35" i="35"/>
  <c r="AY27" i="35"/>
  <c r="AY11" i="32"/>
  <c r="U9" i="32"/>
  <c r="U6" i="32"/>
  <c r="AY6" i="32"/>
  <c r="AY6" i="35"/>
  <c r="G26" i="10"/>
  <c r="AY35" i="32"/>
  <c r="D34" i="35"/>
  <c r="U7" i="35"/>
  <c r="AY36" i="32"/>
  <c r="AY33" i="32"/>
  <c r="AY20" i="32"/>
  <c r="AY24" i="32"/>
  <c r="U39" i="35"/>
  <c r="U32" i="35"/>
  <c r="U45" i="35"/>
  <c r="U17" i="35"/>
  <c r="U17" i="32"/>
  <c r="U39" i="32"/>
  <c r="U41" i="32"/>
  <c r="AY13" i="32"/>
  <c r="L12" i="35"/>
  <c r="L38" i="35"/>
  <c r="L35" i="35"/>
  <c r="L21" i="35"/>
  <c r="L22" i="35"/>
  <c r="D19" i="35"/>
  <c r="D36" i="35"/>
  <c r="D23" i="35"/>
  <c r="D16" i="35"/>
  <c r="AY34" i="35"/>
  <c r="U11" i="32"/>
  <c r="AY11" i="35"/>
  <c r="U25" i="35"/>
  <c r="U36" i="35"/>
  <c r="U33" i="35"/>
  <c r="U16" i="35"/>
  <c r="U34" i="32"/>
  <c r="L23" i="35"/>
  <c r="L19" i="35"/>
  <c r="L26" i="35"/>
  <c r="D50" i="35"/>
  <c r="AY33" i="35"/>
  <c r="AY9" i="32"/>
  <c r="AY10" i="35"/>
  <c r="AY38" i="32"/>
  <c r="U19" i="35"/>
  <c r="U37" i="32"/>
  <c r="L37" i="35"/>
  <c r="D48" i="35"/>
  <c r="AY25" i="35"/>
  <c r="D8" i="35"/>
  <c r="AY26" i="32"/>
  <c r="AY22" i="32"/>
  <c r="AY44" i="32"/>
  <c r="U44" i="35"/>
  <c r="U42" i="35"/>
  <c r="U22" i="35"/>
  <c r="U27" i="35"/>
  <c r="U28" i="32"/>
  <c r="U24" i="32"/>
  <c r="U44" i="32"/>
  <c r="U40" i="32"/>
  <c r="U16" i="32"/>
  <c r="L15" i="35"/>
  <c r="L45" i="35"/>
  <c r="L43" i="35"/>
  <c r="L29" i="35"/>
  <c r="D42" i="35"/>
  <c r="D32" i="35"/>
  <c r="D22" i="35"/>
  <c r="D14" i="35"/>
  <c r="D37" i="35"/>
  <c r="AY39" i="35"/>
  <c r="AY45" i="35"/>
  <c r="AY30" i="35"/>
  <c r="AY32" i="35"/>
  <c r="U11" i="35"/>
  <c r="D10" i="35"/>
  <c r="AY13" i="35"/>
  <c r="D9" i="35"/>
  <c r="U6" i="35"/>
  <c r="D5" i="35"/>
  <c r="T4" i="35"/>
  <c r="D47" i="35"/>
  <c r="AY29" i="35"/>
  <c r="AY14" i="35"/>
  <c r="AY7" i="32"/>
  <c r="U5" i="35"/>
  <c r="AX4" i="35"/>
  <c r="AY26" i="35"/>
  <c r="U9" i="35"/>
  <c r="AY19" i="32"/>
  <c r="AY45" i="32"/>
  <c r="AY25" i="32"/>
  <c r="U37" i="35"/>
  <c r="U23" i="35"/>
  <c r="U31" i="35"/>
  <c r="U28" i="35"/>
  <c r="U38" i="32"/>
  <c r="U19" i="32"/>
  <c r="U26" i="32"/>
  <c r="U43" i="32"/>
  <c r="U14" i="35"/>
  <c r="L17" i="35"/>
  <c r="L14" i="35"/>
  <c r="L34" i="35"/>
  <c r="L28" i="35"/>
  <c r="D44" i="35"/>
  <c r="D24" i="35"/>
  <c r="D39" i="35"/>
  <c r="D33" i="35"/>
  <c r="D17" i="35"/>
  <c r="AY20" i="35"/>
  <c r="AY31" i="35"/>
  <c r="AY21" i="35"/>
  <c r="AY19" i="35"/>
  <c r="AY16" i="35"/>
  <c r="D11" i="35"/>
  <c r="AY12" i="35"/>
  <c r="D7" i="35"/>
  <c r="U8" i="35"/>
  <c r="D4" i="35"/>
  <c r="AX4" i="32"/>
  <c r="D41" i="35"/>
  <c r="AY22" i="35"/>
  <c r="D12" i="35"/>
  <c r="AY9" i="35"/>
  <c r="AY40" i="32"/>
  <c r="U15" i="32"/>
  <c r="D27" i="35"/>
  <c r="AY43" i="35"/>
  <c r="U10" i="32"/>
  <c r="AY8" i="35"/>
  <c r="U20" i="35"/>
  <c r="AY14" i="32"/>
  <c r="U14" i="32"/>
  <c r="L24" i="35"/>
  <c r="U13" i="32"/>
  <c r="C41" i="11" l="1"/>
  <c r="L9" i="38"/>
  <c r="M9" i="38"/>
  <c r="C42" i="11"/>
  <c r="N9" i="38"/>
  <c r="I43" i="12"/>
  <c r="I20" i="12"/>
  <c r="I178" i="12"/>
  <c r="I44" i="12"/>
  <c r="I176" i="12"/>
  <c r="I175" i="12"/>
  <c r="I179" i="12"/>
  <c r="I23" i="12"/>
  <c r="I53" i="12"/>
  <c r="I22" i="12"/>
  <c r="I9" i="12"/>
  <c r="I49" i="12"/>
  <c r="I163" i="12"/>
  <c r="I13" i="12"/>
  <c r="I35" i="12"/>
  <c r="I12" i="12"/>
  <c r="I24" i="12"/>
  <c r="I29" i="12"/>
  <c r="I173" i="12"/>
  <c r="I26" i="12"/>
  <c r="I6" i="12"/>
  <c r="I27" i="12"/>
  <c r="I10" i="12"/>
  <c r="I161" i="12"/>
  <c r="I14" i="12"/>
  <c r="I181" i="12"/>
  <c r="I16" i="12"/>
  <c r="I164" i="12"/>
  <c r="I55" i="12"/>
  <c r="I39" i="12"/>
  <c r="I25" i="12"/>
  <c r="I183" i="12"/>
  <c r="I36" i="12"/>
  <c r="I15" i="12"/>
  <c r="I177" i="12"/>
  <c r="I165" i="12"/>
  <c r="I30" i="12"/>
  <c r="I50" i="12"/>
  <c r="I41" i="12"/>
  <c r="I11" i="12"/>
  <c r="I40" i="12"/>
  <c r="I174" i="12"/>
  <c r="I28" i="12"/>
  <c r="I160" i="12"/>
  <c r="I54" i="12"/>
  <c r="I162" i="12"/>
  <c r="I8" i="12"/>
  <c r="I58" i="12"/>
  <c r="I48" i="12"/>
  <c r="I42" i="12"/>
  <c r="I7" i="12"/>
  <c r="I159" i="12"/>
  <c r="I38" i="12"/>
  <c r="I166" i="12"/>
  <c r="I34" i="12"/>
  <c r="I168" i="12"/>
  <c r="I56" i="12"/>
  <c r="I51" i="12"/>
  <c r="I182" i="12"/>
  <c r="I180" i="12"/>
  <c r="I37" i="12"/>
  <c r="I52" i="12"/>
  <c r="I57" i="12"/>
  <c r="I167" i="12"/>
  <c r="I21" i="12"/>
  <c r="E4" i="35"/>
  <c r="C2" i="12"/>
  <c r="F19" i="10"/>
  <c r="F13" i="10"/>
  <c r="L20" i="10"/>
  <c r="I19" i="10"/>
  <c r="N21" i="10"/>
  <c r="N18" i="10"/>
  <c r="E13" i="10"/>
  <c r="E16" i="10"/>
  <c r="I18" i="10"/>
  <c r="H21" i="10"/>
  <c r="O21" i="10"/>
  <c r="AY4" i="35"/>
  <c r="AZ4" i="35" s="1"/>
  <c r="N15" i="10"/>
  <c r="N23" i="10"/>
  <c r="L15" i="10"/>
  <c r="I16" i="10"/>
  <c r="N17" i="10"/>
  <c r="K14" i="10"/>
  <c r="I20" i="10"/>
  <c r="I15" i="10"/>
  <c r="K18" i="10"/>
  <c r="L18" i="10"/>
  <c r="H17" i="10"/>
  <c r="U4" i="35"/>
  <c r="V4" i="35" s="1"/>
  <c r="N13" i="10"/>
  <c r="L23" i="10"/>
  <c r="I23" i="10"/>
  <c r="L16" i="10"/>
  <c r="H14" i="10"/>
  <c r="F21" i="10"/>
  <c r="N14" i="10"/>
  <c r="I22" i="10"/>
  <c r="F23" i="10"/>
  <c r="K15" i="10"/>
  <c r="F17" i="10"/>
  <c r="U4" i="32"/>
  <c r="K21" i="10"/>
  <c r="N16" i="10"/>
  <c r="O15" i="10"/>
  <c r="L19" i="10"/>
  <c r="H16" i="10"/>
  <c r="K17" i="10"/>
  <c r="AY4" i="32"/>
  <c r="I17" i="10"/>
  <c r="O23" i="10"/>
  <c r="I21" i="10"/>
  <c r="F14" i="10"/>
  <c r="C2" i="38"/>
  <c r="F20" i="10"/>
  <c r="O13" i="10"/>
  <c r="L17" i="10"/>
  <c r="K16" i="10"/>
  <c r="L13" i="10"/>
  <c r="E21" i="10"/>
  <c r="N19" i="10"/>
  <c r="E20" i="10"/>
  <c r="K22" i="10"/>
  <c r="F16" i="10"/>
  <c r="E23" i="10"/>
  <c r="O19" i="10"/>
  <c r="E19" i="10"/>
  <c r="K19" i="10"/>
  <c r="H23" i="10"/>
  <c r="F18" i="10"/>
  <c r="E18" i="10"/>
  <c r="N20" i="10"/>
  <c r="E15" i="10"/>
  <c r="E14" i="10"/>
  <c r="N22" i="10"/>
  <c r="H20" i="10"/>
  <c r="K20" i="10"/>
  <c r="H18" i="10"/>
  <c r="E22" i="10"/>
  <c r="H15" i="10"/>
  <c r="L22" i="10"/>
  <c r="H13" i="10"/>
  <c r="O22" i="10"/>
  <c r="O16" i="10"/>
  <c r="O18" i="10"/>
  <c r="O17" i="10"/>
  <c r="L21" i="10"/>
  <c r="O14" i="10"/>
  <c r="H19" i="10"/>
  <c r="H22" i="10"/>
  <c r="E17" i="10"/>
  <c r="K23" i="10"/>
  <c r="K13" i="10"/>
  <c r="O20" i="10"/>
  <c r="F22" i="10"/>
  <c r="I14" i="10"/>
  <c r="I13" i="10"/>
  <c r="F15" i="10"/>
  <c r="L14" i="10"/>
  <c r="E5" i="35"/>
  <c r="AZ5" i="35"/>
  <c r="V5" i="35"/>
  <c r="E6" i="35"/>
  <c r="E7" i="35"/>
  <c r="E8" i="35"/>
  <c r="AZ6" i="35"/>
  <c r="AZ7" i="35"/>
  <c r="V6" i="35"/>
  <c r="V7" i="35"/>
  <c r="V8" i="35"/>
  <c r="E9" i="35"/>
  <c r="AZ8" i="35"/>
  <c r="V9" i="35"/>
  <c r="E10" i="35"/>
  <c r="AZ9" i="35"/>
  <c r="V10" i="35"/>
  <c r="E11" i="35"/>
  <c r="AZ10" i="35"/>
  <c r="V11" i="35"/>
  <c r="E12" i="35"/>
  <c r="E13" i="35"/>
  <c r="AZ11" i="35"/>
  <c r="AZ12" i="35"/>
  <c r="AZ13" i="35"/>
  <c r="V12" i="35"/>
  <c r="E14" i="35"/>
  <c r="E38" i="35"/>
  <c r="E28" i="35"/>
  <c r="E49" i="35"/>
  <c r="E36" i="35"/>
  <c r="E35" i="35"/>
  <c r="E50" i="35"/>
  <c r="E34" i="35"/>
  <c r="AZ14" i="35"/>
  <c r="V13" i="35"/>
  <c r="E43" i="35"/>
  <c r="E21" i="35"/>
  <c r="E44" i="35"/>
  <c r="E39" i="35"/>
  <c r="E48" i="35"/>
  <c r="E15" i="35"/>
  <c r="E37" i="35"/>
  <c r="E47" i="35"/>
  <c r="E51" i="35"/>
  <c r="E18" i="35"/>
  <c r="E30" i="35"/>
  <c r="E31" i="35"/>
  <c r="E16" i="35"/>
  <c r="E46" i="35"/>
  <c r="E42" i="35"/>
  <c r="E20" i="35"/>
  <c r="E33" i="35"/>
  <c r="E40" i="35"/>
  <c r="E41" i="35"/>
  <c r="E32" i="35"/>
  <c r="E26" i="35"/>
  <c r="E17" i="35"/>
  <c r="E29" i="35"/>
  <c r="E24" i="35"/>
  <c r="E19" i="35"/>
  <c r="E23" i="35"/>
  <c r="E22" i="35"/>
  <c r="E27" i="35"/>
  <c r="E25" i="35"/>
  <c r="E45" i="35"/>
  <c r="AZ15" i="35"/>
  <c r="V14" i="35"/>
  <c r="V15" i="35"/>
  <c r="V16" i="35"/>
  <c r="AZ16" i="35"/>
  <c r="V17" i="35"/>
  <c r="V18" i="35"/>
  <c r="V31" i="35"/>
  <c r="AZ17" i="35"/>
  <c r="AZ18" i="35"/>
  <c r="AZ27" i="35"/>
  <c r="AZ45" i="35"/>
  <c r="AZ21" i="35"/>
  <c r="AZ25" i="35"/>
  <c r="AZ33" i="35"/>
  <c r="AZ19" i="35"/>
  <c r="AZ34" i="35"/>
  <c r="AZ40" i="35"/>
  <c r="AZ35" i="35"/>
  <c r="AZ24" i="35"/>
  <c r="AZ44" i="35"/>
  <c r="AZ37" i="35"/>
  <c r="V25" i="35"/>
  <c r="V28" i="35"/>
  <c r="V35" i="35"/>
  <c r="V41" i="35"/>
  <c r="V39" i="35"/>
  <c r="V33" i="35"/>
  <c r="V45" i="35"/>
  <c r="V34" i="35"/>
  <c r="V42" i="35"/>
  <c r="V36" i="35"/>
  <c r="V24" i="35"/>
  <c r="V21" i="35"/>
  <c r="V19" i="35"/>
  <c r="V30" i="35"/>
  <c r="V38" i="35"/>
  <c r="V22" i="35"/>
  <c r="V44" i="35"/>
  <c r="V23" i="35"/>
  <c r="V27" i="35"/>
  <c r="V20" i="35"/>
  <c r="V26" i="35"/>
  <c r="V29" i="35"/>
  <c r="V37" i="35"/>
  <c r="V32" i="35"/>
  <c r="V43" i="35"/>
  <c r="V40" i="35"/>
  <c r="AZ41" i="35"/>
  <c r="AZ29" i="35"/>
  <c r="AZ32" i="35"/>
  <c r="AZ42" i="35"/>
  <c r="AZ43" i="35"/>
  <c r="AZ23" i="35"/>
  <c r="AZ31" i="35"/>
  <c r="AZ26" i="35"/>
  <c r="AZ36" i="35"/>
  <c r="AZ22" i="35"/>
  <c r="AZ38" i="35"/>
  <c r="AZ39" i="35"/>
  <c r="AZ20" i="35"/>
  <c r="AZ28" i="35"/>
  <c r="AZ30" i="35"/>
  <c r="BA30" i="35" l="1"/>
  <c r="BA28" i="35"/>
  <c r="BA20" i="35"/>
  <c r="BA39" i="35"/>
  <c r="BA38" i="35"/>
  <c r="BA22" i="35"/>
  <c r="BA36" i="35"/>
  <c r="BA26" i="35"/>
  <c r="BA31" i="35"/>
  <c r="BA23" i="35"/>
  <c r="BA43" i="35"/>
  <c r="BA42" i="35"/>
  <c r="BA32" i="35"/>
  <c r="BA29" i="35"/>
  <c r="BA41" i="35"/>
  <c r="W40" i="35"/>
  <c r="W43" i="35"/>
  <c r="W32" i="35"/>
  <c r="W37" i="35"/>
  <c r="W29" i="35"/>
  <c r="W26" i="35"/>
  <c r="W20" i="35"/>
  <c r="W27" i="35"/>
  <c r="W23" i="35"/>
  <c r="W44" i="35"/>
  <c r="W22" i="35"/>
  <c r="W38" i="35"/>
  <c r="W30" i="35"/>
  <c r="W19" i="35"/>
  <c r="W21" i="35"/>
  <c r="W24" i="35"/>
  <c r="W36" i="35"/>
  <c r="W42" i="35"/>
  <c r="W34" i="35"/>
  <c r="W45" i="35"/>
  <c r="W33" i="35"/>
  <c r="W39" i="35"/>
  <c r="W41" i="35"/>
  <c r="W35" i="35"/>
  <c r="W28" i="35"/>
  <c r="W25" i="35"/>
  <c r="BA37" i="35"/>
  <c r="BA44" i="35"/>
  <c r="BA24" i="35"/>
  <c r="BA35" i="35"/>
  <c r="BA40" i="35"/>
  <c r="BA34" i="35"/>
  <c r="BA19" i="35"/>
  <c r="BA33" i="35"/>
  <c r="BA25" i="35"/>
  <c r="BA21" i="35"/>
  <c r="BA45" i="35"/>
  <c r="BA27" i="35"/>
  <c r="BA18" i="35"/>
  <c r="W31" i="35"/>
  <c r="W18" i="35"/>
  <c r="F45" i="35"/>
  <c r="F25" i="35"/>
  <c r="S27" i="21" s="1"/>
  <c r="F27" i="35"/>
  <c r="S29" i="21" s="1"/>
  <c r="F22" i="35"/>
  <c r="S24" i="21" s="1"/>
  <c r="F23" i="35"/>
  <c r="S25" i="21" s="1"/>
  <c r="F19" i="35"/>
  <c r="S21" i="21" s="1"/>
  <c r="F24" i="35"/>
  <c r="S26" i="21" s="1"/>
  <c r="F29" i="35"/>
  <c r="S31" i="21" s="1"/>
  <c r="F17" i="35"/>
  <c r="S19" i="21" s="1"/>
  <c r="F26" i="35"/>
  <c r="S28" i="21" s="1"/>
  <c r="F32" i="35"/>
  <c r="S34" i="21" s="1"/>
  <c r="F41" i="35"/>
  <c r="S43" i="21" s="1"/>
  <c r="F40" i="35"/>
  <c r="S42" i="21" s="1"/>
  <c r="F33" i="35"/>
  <c r="S35" i="21" s="1"/>
  <c r="F20" i="35"/>
  <c r="S22" i="21" s="1"/>
  <c r="F42" i="35"/>
  <c r="S44" i="21" s="1"/>
  <c r="F46" i="35"/>
  <c r="F16" i="35"/>
  <c r="S18" i="21" s="1"/>
  <c r="F31" i="35"/>
  <c r="S33" i="21" s="1"/>
  <c r="F30" i="35"/>
  <c r="S32" i="21" s="1"/>
  <c r="F18" i="35"/>
  <c r="S20" i="21" s="1"/>
  <c r="F51" i="35"/>
  <c r="F47" i="35"/>
  <c r="F37" i="35"/>
  <c r="S39" i="21" s="1"/>
  <c r="F15" i="35"/>
  <c r="S17" i="21" s="1"/>
  <c r="F48" i="35"/>
  <c r="F39" i="35"/>
  <c r="S41" i="21" s="1"/>
  <c r="F44" i="35"/>
  <c r="F21" i="35"/>
  <c r="S23" i="21" s="1"/>
  <c r="F43" i="35"/>
  <c r="S45" i="21" s="1"/>
  <c r="F34" i="35"/>
  <c r="S36" i="21" s="1"/>
  <c r="F50" i="35"/>
  <c r="F35" i="35"/>
  <c r="S37" i="21" s="1"/>
  <c r="F36" i="35"/>
  <c r="S38" i="21" s="1"/>
  <c r="F49" i="35"/>
  <c r="F28" i="35"/>
  <c r="S30" i="21" s="1"/>
  <c r="F38" i="35"/>
  <c r="S40" i="21" s="1"/>
  <c r="F14" i="35"/>
  <c r="S16" i="21" s="1"/>
  <c r="M51" i="38"/>
  <c r="D24" i="38"/>
  <c r="D50" i="38"/>
  <c r="D51" i="38"/>
  <c r="D31" i="38"/>
  <c r="V57" i="38"/>
  <c r="V51" i="38"/>
  <c r="M58" i="38"/>
  <c r="V54" i="38"/>
  <c r="V55" i="38"/>
  <c r="V53" i="38"/>
  <c r="V59" i="38"/>
  <c r="M59" i="38"/>
  <c r="D27" i="38"/>
  <c r="V56" i="38"/>
  <c r="D25" i="38"/>
  <c r="M50" i="38"/>
  <c r="M54" i="38"/>
  <c r="V50" i="38"/>
  <c r="D29" i="38"/>
  <c r="E40" i="23"/>
  <c r="C40" i="23"/>
  <c r="D40" i="23"/>
  <c r="D23" i="38"/>
  <c r="D58" i="38"/>
  <c r="V60" i="38"/>
  <c r="D54" i="38"/>
  <c r="M56" i="38"/>
  <c r="V52" i="38"/>
  <c r="D26" i="38"/>
  <c r="D32" i="38"/>
  <c r="D59" i="38"/>
  <c r="D30" i="38"/>
  <c r="M53" i="38"/>
  <c r="D60" i="38"/>
  <c r="M60" i="38"/>
  <c r="M55" i="38"/>
  <c r="D52" i="38"/>
  <c r="D57" i="38"/>
  <c r="D53" i="38"/>
  <c r="M52" i="38"/>
  <c r="V58" i="38"/>
  <c r="D55" i="38"/>
  <c r="D56" i="38"/>
  <c r="M57" i="38"/>
  <c r="D22" i="38"/>
  <c r="D28" i="38"/>
  <c r="BA13" i="35"/>
  <c r="W10" i="35"/>
  <c r="W6" i="35"/>
  <c r="F5" i="35"/>
  <c r="W17" i="35"/>
  <c r="BA12" i="35"/>
  <c r="BA9" i="35"/>
  <c r="BA7" i="35"/>
  <c r="V4" i="32"/>
  <c r="BA16" i="35"/>
  <c r="BA11" i="35"/>
  <c r="F10" i="35"/>
  <c r="BA6" i="35"/>
  <c r="BA4" i="35"/>
  <c r="W16" i="35"/>
  <c r="F13" i="35"/>
  <c r="W9" i="35"/>
  <c r="F8" i="35"/>
  <c r="W4" i="35"/>
  <c r="F4" i="35"/>
  <c r="W15" i="35"/>
  <c r="F12" i="35"/>
  <c r="BA8" i="35"/>
  <c r="F7" i="35"/>
  <c r="W14" i="35"/>
  <c r="W13" i="35"/>
  <c r="W11" i="35"/>
  <c r="F9" i="35"/>
  <c r="F6" i="35"/>
  <c r="BA17" i="35"/>
  <c r="BA15" i="35"/>
  <c r="BA14" i="35"/>
  <c r="BA10" i="35"/>
  <c r="W8" i="35"/>
  <c r="W5" i="35"/>
  <c r="W7" i="35"/>
  <c r="BA5" i="35"/>
  <c r="F11" i="35"/>
  <c r="W12" i="35"/>
  <c r="AZ4" i="32"/>
  <c r="V5" i="32"/>
  <c r="AZ5" i="32"/>
  <c r="V6" i="32"/>
  <c r="V7" i="32"/>
  <c r="AZ6" i="32"/>
  <c r="AZ7" i="32"/>
  <c r="AZ8" i="32"/>
  <c r="V8" i="32"/>
  <c r="V9" i="32"/>
  <c r="V10" i="32"/>
  <c r="AZ9" i="32"/>
  <c r="AZ10" i="32"/>
  <c r="AZ11" i="32"/>
  <c r="V11" i="32"/>
  <c r="V12" i="32"/>
  <c r="AZ12" i="32"/>
  <c r="V13" i="32"/>
  <c r="AZ13" i="32"/>
  <c r="AZ14" i="32"/>
  <c r="V14" i="32"/>
  <c r="AZ15" i="32"/>
  <c r="AZ16" i="32"/>
  <c r="V15" i="32"/>
  <c r="AZ17" i="32"/>
  <c r="V16" i="32"/>
  <c r="AZ18" i="32"/>
  <c r="AZ35" i="32"/>
  <c r="AZ21" i="32"/>
  <c r="AZ30" i="32"/>
  <c r="AZ22" i="32"/>
  <c r="AZ19" i="32"/>
  <c r="AZ34" i="32"/>
  <c r="AZ44" i="32"/>
  <c r="AZ29" i="32"/>
  <c r="V17" i="32"/>
  <c r="AZ32" i="32"/>
  <c r="AZ40" i="32"/>
  <c r="AZ33" i="32"/>
  <c r="AZ26" i="32"/>
  <c r="AZ24" i="32"/>
  <c r="AZ39" i="32"/>
  <c r="AZ38" i="32"/>
  <c r="AZ31" i="32"/>
  <c r="AZ42" i="32"/>
  <c r="AZ28" i="32"/>
  <c r="AZ23" i="32"/>
  <c r="AZ41" i="32"/>
  <c r="AZ25" i="32"/>
  <c r="AZ20" i="32"/>
  <c r="AZ36" i="32"/>
  <c r="AZ37" i="32"/>
  <c r="AZ27" i="32"/>
  <c r="AZ45" i="32"/>
  <c r="AZ43" i="32"/>
  <c r="V18" i="32"/>
  <c r="V23" i="32"/>
  <c r="V24" i="32"/>
  <c r="V30" i="32"/>
  <c r="V37" i="32"/>
  <c r="V36" i="32"/>
  <c r="V20" i="32"/>
  <c r="V26" i="32"/>
  <c r="V31" i="32"/>
  <c r="V38" i="32"/>
  <c r="V43" i="32"/>
  <c r="V40" i="32"/>
  <c r="V35" i="32"/>
  <c r="V32" i="32"/>
  <c r="V25" i="32"/>
  <c r="V42" i="32"/>
  <c r="V39" i="32"/>
  <c r="V41" i="32"/>
  <c r="V22" i="32"/>
  <c r="V29" i="32"/>
  <c r="V33" i="32"/>
  <c r="V27" i="32"/>
  <c r="V21" i="32"/>
  <c r="V28" i="32"/>
  <c r="V44" i="32"/>
  <c r="V19" i="32"/>
  <c r="V45" i="32"/>
  <c r="V34" i="32"/>
  <c r="B40" i="23" l="1"/>
  <c r="E34" i="11" s="1"/>
  <c r="W34" i="32"/>
  <c r="W45" i="32"/>
  <c r="W19" i="32"/>
  <c r="W44" i="32"/>
  <c r="W28" i="32"/>
  <c r="W21" i="32"/>
  <c r="W27" i="32"/>
  <c r="W33" i="32"/>
  <c r="W29" i="32"/>
  <c r="W22" i="32"/>
  <c r="W41" i="32"/>
  <c r="W39" i="32"/>
  <c r="W42" i="32"/>
  <c r="W25" i="32"/>
  <c r="W32" i="32"/>
  <c r="W35" i="32"/>
  <c r="W40" i="32"/>
  <c r="W43" i="32"/>
  <c r="W38" i="32"/>
  <c r="W31" i="32"/>
  <c r="W26" i="32"/>
  <c r="W20" i="32"/>
  <c r="W36" i="32"/>
  <c r="W37" i="32"/>
  <c r="W30" i="32"/>
  <c r="W24" i="32"/>
  <c r="W23" i="32"/>
  <c r="W18" i="32"/>
  <c r="BA43" i="32"/>
  <c r="BA45" i="32"/>
  <c r="BA27" i="32"/>
  <c r="BA37" i="32"/>
  <c r="BA36" i="32"/>
  <c r="BA20" i="32"/>
  <c r="BA25" i="32"/>
  <c r="BA41" i="32"/>
  <c r="BA23" i="32"/>
  <c r="BA28" i="32"/>
  <c r="BA42" i="32"/>
  <c r="BA31" i="32"/>
  <c r="BA38" i="32"/>
  <c r="BA39" i="32"/>
  <c r="BA24" i="32"/>
  <c r="BA26" i="32"/>
  <c r="BA33" i="32"/>
  <c r="BA40" i="32"/>
  <c r="BA32" i="32"/>
  <c r="BA29" i="32"/>
  <c r="BA44" i="32"/>
  <c r="BA34" i="32"/>
  <c r="BA19" i="32"/>
  <c r="BA22" i="32"/>
  <c r="BA30" i="32"/>
  <c r="BA21" i="32"/>
  <c r="BA35" i="32"/>
  <c r="BA18" i="32"/>
  <c r="S13" i="21"/>
  <c r="S8" i="21"/>
  <c r="S11" i="21"/>
  <c r="S9" i="21"/>
  <c r="S14" i="21"/>
  <c r="S6" i="21"/>
  <c r="S4" i="21" s="1"/>
  <c r="S10" i="21"/>
  <c r="S15" i="21"/>
  <c r="S12" i="21"/>
  <c r="S7" i="21"/>
  <c r="BD36" i="32"/>
  <c r="BD38" i="32"/>
  <c r="BD29" i="32"/>
  <c r="BD18" i="32"/>
  <c r="BA13" i="32"/>
  <c r="W10" i="32"/>
  <c r="BA5" i="32"/>
  <c r="BD20" i="32"/>
  <c r="BD39" i="32"/>
  <c r="BD44" i="32"/>
  <c r="W16" i="32"/>
  <c r="W13" i="32"/>
  <c r="W9" i="32"/>
  <c r="W5" i="32"/>
  <c r="BD25" i="32"/>
  <c r="BD24" i="32"/>
  <c r="BD34" i="32"/>
  <c r="BA17" i="32"/>
  <c r="BA12" i="32"/>
  <c r="W8" i="32"/>
  <c r="BA4" i="32"/>
  <c r="BD35" i="32"/>
  <c r="BD41" i="32"/>
  <c r="BD26" i="32"/>
  <c r="BD19" i="32"/>
  <c r="W15" i="32"/>
  <c r="W12" i="32"/>
  <c r="BA8" i="32"/>
  <c r="BD43" i="32"/>
  <c r="BD23" i="32"/>
  <c r="BD33" i="32"/>
  <c r="BD22" i="32"/>
  <c r="BA16" i="32"/>
  <c r="W11" i="32"/>
  <c r="BA7" i="32"/>
  <c r="BD31" i="32"/>
  <c r="BD45" i="32"/>
  <c r="BD28" i="32"/>
  <c r="BD40" i="32"/>
  <c r="BD30" i="32"/>
  <c r="BA15" i="32"/>
  <c r="BA11" i="32"/>
  <c r="BA6" i="32"/>
  <c r="W4" i="32"/>
  <c r="BD37" i="32"/>
  <c r="BA9" i="32"/>
  <c r="W6" i="32"/>
  <c r="BD27" i="32"/>
  <c r="BD42" i="32"/>
  <c r="BD32" i="32"/>
  <c r="BD21" i="32"/>
  <c r="W14" i="32"/>
  <c r="BA10" i="32"/>
  <c r="W7" i="32"/>
  <c r="W17" i="32"/>
  <c r="BA14" i="32"/>
  <c r="C35" i="10" l="1"/>
  <c r="BD10" i="32"/>
  <c r="BD4" i="32"/>
  <c r="BD17" i="32"/>
  <c r="BB4" i="35"/>
  <c r="BD9" i="32"/>
  <c r="BD12" i="32"/>
  <c r="K8" i="7"/>
  <c r="J4" i="35"/>
  <c r="BD6" i="32"/>
  <c r="BD11" i="32"/>
  <c r="BD5" i="32"/>
  <c r="J5" i="35"/>
  <c r="Y4" i="35"/>
  <c r="BD14" i="32"/>
  <c r="BD15" i="32"/>
  <c r="BD13" i="32"/>
  <c r="BH4" i="35"/>
  <c r="J8" i="7"/>
  <c r="BD16" i="32"/>
  <c r="BD7" i="32"/>
  <c r="V8" i="7"/>
  <c r="Y5" i="35"/>
  <c r="BD8" i="32"/>
  <c r="BB5" i="35"/>
  <c r="BC5" i="35"/>
  <c r="J6" i="35"/>
  <c r="J13" i="35"/>
  <c r="J21" i="35"/>
  <c r="K14" i="35"/>
  <c r="K18" i="35"/>
  <c r="K6" i="35"/>
  <c r="K25" i="35"/>
  <c r="K30" i="35"/>
  <c r="K23" i="35"/>
  <c r="K11" i="35"/>
  <c r="K9" i="35"/>
  <c r="K37" i="35"/>
  <c r="K40" i="35"/>
  <c r="K24" i="35"/>
  <c r="K19" i="35"/>
  <c r="K42" i="35"/>
  <c r="K28" i="35"/>
  <c r="K22" i="35"/>
  <c r="K41" i="35"/>
  <c r="K34" i="35"/>
  <c r="K21" i="35"/>
  <c r="K29" i="35"/>
  <c r="K35" i="35"/>
  <c r="K15" i="35"/>
  <c r="K10" i="35"/>
  <c r="K13" i="35"/>
  <c r="K31" i="35"/>
  <c r="K44" i="35"/>
  <c r="K7" i="35"/>
  <c r="K5" i="35"/>
  <c r="K39" i="35"/>
  <c r="K33" i="35"/>
  <c r="K4" i="35"/>
  <c r="K36" i="35"/>
  <c r="K38" i="35"/>
  <c r="K26" i="35"/>
  <c r="K16" i="35"/>
  <c r="K20" i="35"/>
  <c r="K12" i="35"/>
  <c r="K8" i="35"/>
  <c r="K45" i="35"/>
  <c r="K43" i="35"/>
  <c r="K32" i="35"/>
  <c r="K27" i="35"/>
  <c r="K17" i="35"/>
  <c r="J17" i="35"/>
  <c r="J29" i="35"/>
  <c r="J26" i="35"/>
  <c r="J35" i="35"/>
  <c r="J14" i="35"/>
  <c r="Z5" i="35"/>
  <c r="Z4" i="35"/>
  <c r="BH5" i="35"/>
  <c r="BI5" i="35"/>
  <c r="Y6" i="35"/>
  <c r="Y7" i="35"/>
  <c r="BB6" i="35"/>
  <c r="BB7" i="35"/>
  <c r="BB8" i="35"/>
  <c r="J33" i="35"/>
  <c r="J31" i="35"/>
  <c r="J11" i="35"/>
  <c r="J32" i="35"/>
  <c r="J25" i="35"/>
  <c r="J28" i="35"/>
  <c r="J30" i="35"/>
  <c r="J42" i="35"/>
  <c r="J36" i="35"/>
  <c r="J22" i="35"/>
  <c r="J41" i="35"/>
  <c r="J9" i="35"/>
  <c r="J43" i="35"/>
  <c r="J7" i="35"/>
  <c r="J38" i="35"/>
  <c r="J20" i="35"/>
  <c r="J27" i="35"/>
  <c r="J18" i="35"/>
  <c r="J19" i="35"/>
  <c r="J44" i="35"/>
  <c r="J15" i="35"/>
  <c r="J39" i="35"/>
  <c r="J16" i="35"/>
  <c r="J10" i="35"/>
  <c r="J37" i="35"/>
  <c r="J40" i="35"/>
  <c r="J34" i="35"/>
  <c r="J24" i="35"/>
  <c r="J23" i="35"/>
  <c r="J8" i="35"/>
  <c r="J12" i="35"/>
  <c r="J45" i="35"/>
  <c r="L9" i="35"/>
  <c r="L4" i="35"/>
  <c r="L10" i="35"/>
  <c r="L6" i="35"/>
  <c r="L7" i="35"/>
  <c r="L8" i="35"/>
  <c r="L5" i="35"/>
  <c r="M4" i="35" s="1"/>
  <c r="BH6" i="35"/>
  <c r="Z6" i="35"/>
  <c r="Z7" i="35"/>
  <c r="Y8" i="35"/>
  <c r="BC7" i="35"/>
  <c r="BC6" i="35"/>
  <c r="BC8" i="35"/>
  <c r="BB9" i="35"/>
  <c r="N4" i="35"/>
  <c r="M5" i="35"/>
  <c r="M39" i="35"/>
  <c r="M7" i="35"/>
  <c r="M14" i="35"/>
  <c r="M38" i="35"/>
  <c r="N40" i="35"/>
  <c r="N38" i="35"/>
  <c r="N26" i="35"/>
  <c r="M28" i="35"/>
  <c r="M12" i="35"/>
  <c r="N8" i="35"/>
  <c r="M19" i="35"/>
  <c r="N28" i="35"/>
  <c r="N21" i="35"/>
  <c r="N29" i="35"/>
  <c r="M31" i="35"/>
  <c r="N30" i="35"/>
  <c r="N9" i="35"/>
  <c r="N24" i="35"/>
  <c r="M35" i="35"/>
  <c r="M44" i="35"/>
  <c r="N19" i="35"/>
  <c r="M37" i="35"/>
  <c r="M41" i="35"/>
  <c r="N6" i="35"/>
  <c r="M20" i="35"/>
  <c r="N7" i="35"/>
  <c r="M27" i="35"/>
  <c r="BH7" i="35"/>
  <c r="BI6" i="35"/>
  <c r="BI7" i="35"/>
  <c r="Y9" i="35"/>
  <c r="Z9" i="35"/>
  <c r="Z8" i="35"/>
  <c r="BC9" i="35"/>
  <c r="BB10" i="35"/>
  <c r="N18" i="35"/>
  <c r="M25" i="35"/>
  <c r="N37" i="35"/>
  <c r="M36" i="35"/>
  <c r="N5" i="35"/>
  <c r="N11" i="35"/>
  <c r="N35" i="35"/>
  <c r="N13" i="35"/>
  <c r="N15" i="35"/>
  <c r="M23" i="35"/>
  <c r="M21" i="35"/>
  <c r="N17" i="35"/>
  <c r="N27" i="35"/>
  <c r="M24" i="35"/>
  <c r="M9" i="35"/>
  <c r="M18" i="35"/>
  <c r="M30" i="35"/>
  <c r="N23" i="35"/>
  <c r="M6" i="35"/>
  <c r="N33" i="35"/>
  <c r="N16" i="35"/>
  <c r="N34" i="35"/>
  <c r="N12" i="35"/>
  <c r="M40" i="35"/>
  <c r="N14" i="35"/>
  <c r="N44" i="35"/>
  <c r="N25" i="35"/>
  <c r="N42" i="35"/>
  <c r="N41" i="35"/>
  <c r="M43" i="35"/>
  <c r="M33" i="35"/>
  <c r="N22" i="35"/>
  <c r="N36" i="35"/>
  <c r="N43" i="35"/>
  <c r="M16" i="35"/>
  <c r="M34" i="35"/>
  <c r="N45" i="35"/>
  <c r="M29" i="35"/>
  <c r="M10" i="35"/>
  <c r="N31" i="35"/>
  <c r="N32" i="35"/>
  <c r="N39" i="35"/>
  <c r="M13" i="35"/>
  <c r="M45" i="35"/>
  <c r="M42" i="35"/>
  <c r="M32" i="35"/>
  <c r="M15" i="35"/>
  <c r="M26" i="35"/>
  <c r="M17" i="35"/>
  <c r="M22" i="35"/>
  <c r="N20" i="35"/>
  <c r="M8" i="35"/>
  <c r="N10" i="35"/>
  <c r="M11" i="35"/>
  <c r="BH8" i="35"/>
  <c r="BH9" i="35"/>
  <c r="Y10" i="35"/>
  <c r="Y11" i="35"/>
  <c r="BC10" i="35"/>
  <c r="BB11" i="35"/>
  <c r="BH10" i="35"/>
  <c r="BI8" i="35"/>
  <c r="BI10" i="35"/>
  <c r="BI9" i="35"/>
  <c r="Z11" i="35"/>
  <c r="Z10" i="35"/>
  <c r="Y12" i="35"/>
  <c r="BB12" i="35"/>
  <c r="BB13" i="35"/>
  <c r="BB14" i="35"/>
  <c r="BB15" i="35"/>
  <c r="BC13" i="35"/>
  <c r="BC15" i="35"/>
  <c r="BC12" i="35"/>
  <c r="BC14" i="35"/>
  <c r="BC11" i="35"/>
  <c r="BB16" i="35"/>
  <c r="BH11" i="35"/>
  <c r="Z12" i="35"/>
  <c r="Y13" i="35"/>
  <c r="BB17" i="35"/>
  <c r="BB34" i="35"/>
  <c r="BB26" i="35"/>
  <c r="BC16" i="35"/>
  <c r="BC41" i="35"/>
  <c r="BC31" i="35"/>
  <c r="BC44" i="35"/>
  <c r="BC26" i="35"/>
  <c r="BC24" i="35"/>
  <c r="BC43" i="35"/>
  <c r="BC18" i="35"/>
  <c r="BC42" i="35"/>
  <c r="BC28" i="35"/>
  <c r="BC27" i="35"/>
  <c r="BC45" i="35"/>
  <c r="BC29" i="35"/>
  <c r="BC34" i="35"/>
  <c r="BC20" i="35"/>
  <c r="BC25" i="35"/>
  <c r="BC21" i="35"/>
  <c r="BC22" i="35"/>
  <c r="BC36" i="35"/>
  <c r="BC37" i="35"/>
  <c r="BC40" i="35"/>
  <c r="BC17" i="35"/>
  <c r="BC23" i="35"/>
  <c r="BC39" i="35"/>
  <c r="BC19" i="35"/>
  <c r="BC33" i="35"/>
  <c r="BC30" i="35"/>
  <c r="BC32" i="35"/>
  <c r="BC35" i="35"/>
  <c r="BC38" i="35"/>
  <c r="BB27" i="35"/>
  <c r="BB43" i="35"/>
  <c r="BB45" i="35"/>
  <c r="BB33" i="35"/>
  <c r="BH12" i="35"/>
  <c r="BI11" i="35"/>
  <c r="BI12" i="35"/>
  <c r="Y14" i="35"/>
  <c r="Z14" i="35"/>
  <c r="Z13" i="35"/>
  <c r="BB19" i="35"/>
  <c r="BB18" i="35"/>
  <c r="BB23" i="35"/>
  <c r="BB22" i="35"/>
  <c r="BB38" i="35"/>
  <c r="BB41" i="35"/>
  <c r="BB30" i="35"/>
  <c r="BB31" i="35"/>
  <c r="BB24" i="35"/>
  <c r="BB39" i="35"/>
  <c r="BB37" i="35"/>
  <c r="BB25" i="35"/>
  <c r="BB32" i="35"/>
  <c r="BB21" i="35"/>
  <c r="BB44" i="35"/>
  <c r="BB29" i="35"/>
  <c r="BB42" i="35"/>
  <c r="BB28" i="35"/>
  <c r="BB20" i="35"/>
  <c r="BB35" i="35"/>
  <c r="BB36" i="35"/>
  <c r="BB40" i="35"/>
  <c r="BH13" i="35"/>
  <c r="Y15" i="35"/>
  <c r="BI13" i="35"/>
  <c r="BH14" i="35"/>
  <c r="Y16" i="35"/>
  <c r="Y43" i="35"/>
  <c r="Z43" i="35"/>
  <c r="Z30" i="35"/>
  <c r="Z27" i="35"/>
  <c r="Z20" i="35"/>
  <c r="Z21" i="35"/>
  <c r="Z42" i="35"/>
  <c r="Z23" i="35"/>
  <c r="Z33" i="35"/>
  <c r="Z39" i="35"/>
  <c r="Z28" i="35"/>
  <c r="Z26" i="35"/>
  <c r="Z35" i="35"/>
  <c r="Z16" i="35"/>
  <c r="Z15" i="35"/>
  <c r="Z19" i="35"/>
  <c r="Z37" i="35"/>
  <c r="Z32" i="35"/>
  <c r="Z45" i="35"/>
  <c r="Z44" i="35"/>
  <c r="Z24" i="35"/>
  <c r="Z40" i="35"/>
  <c r="Z25" i="35"/>
  <c r="Z41" i="35"/>
  <c r="Z38" i="35"/>
  <c r="Z31" i="35"/>
  <c r="Z22" i="35"/>
  <c r="Z34" i="35"/>
  <c r="Z17" i="35"/>
  <c r="Z29" i="35"/>
  <c r="Z36" i="35"/>
  <c r="Z18" i="35"/>
  <c r="Y33" i="35"/>
  <c r="Y40" i="35"/>
  <c r="Y44" i="35"/>
  <c r="Y24" i="35"/>
  <c r="BH15" i="35"/>
  <c r="BI15" i="35"/>
  <c r="BI14" i="35"/>
  <c r="Y37" i="35"/>
  <c r="Y36" i="35"/>
  <c r="Y42" i="35"/>
  <c r="Y21" i="35"/>
  <c r="Y17" i="35"/>
  <c r="Y30" i="35"/>
  <c r="Y23" i="35"/>
  <c r="Y34" i="35"/>
  <c r="Y22" i="35"/>
  <c r="Y20" i="35"/>
  <c r="Y35" i="35"/>
  <c r="Y29" i="35"/>
  <c r="Y18" i="35"/>
  <c r="Y39" i="35"/>
  <c r="Y19" i="35"/>
  <c r="Y31" i="35"/>
  <c r="Y25" i="35"/>
  <c r="Y26" i="35"/>
  <c r="Y38" i="35"/>
  <c r="Y32" i="35"/>
  <c r="Y27" i="35"/>
  <c r="Y45" i="35"/>
  <c r="Y28" i="35"/>
  <c r="Y41" i="35"/>
  <c r="BH16" i="35"/>
  <c r="BH17" i="35"/>
  <c r="BH18" i="35"/>
  <c r="BH19" i="35"/>
  <c r="BH20" i="35"/>
  <c r="BI18" i="35"/>
  <c r="BI19" i="35"/>
  <c r="BI16" i="35"/>
  <c r="BI17" i="35"/>
  <c r="BI20" i="35"/>
  <c r="BH21" i="35"/>
  <c r="BH22" i="35"/>
  <c r="BI41" i="35"/>
  <c r="BI25" i="35"/>
  <c r="BI24" i="35"/>
  <c r="BI29" i="35"/>
  <c r="BI35" i="35"/>
  <c r="BI33" i="35"/>
  <c r="BI32" i="35"/>
  <c r="BI36" i="35"/>
  <c r="BI38" i="35"/>
  <c r="BI45" i="35"/>
  <c r="BI22" i="35"/>
  <c r="BI42" i="35"/>
  <c r="BI37" i="35"/>
  <c r="BI39" i="35"/>
  <c r="BI34" i="35"/>
  <c r="BI30" i="35"/>
  <c r="BI44" i="35"/>
  <c r="BI26" i="35"/>
  <c r="BI23" i="35"/>
  <c r="BI31" i="35"/>
  <c r="BI40" i="35"/>
  <c r="BI43" i="35"/>
  <c r="BI27" i="35"/>
  <c r="BI28" i="35"/>
  <c r="BI21" i="35"/>
  <c r="BH27" i="35"/>
  <c r="BH43" i="35"/>
  <c r="BH39" i="35"/>
  <c r="BH45" i="35"/>
  <c r="BH23" i="35"/>
  <c r="BH38" i="35"/>
  <c r="BH42" i="35"/>
  <c r="BH35" i="35"/>
  <c r="BH24" i="35"/>
  <c r="BH40" i="35"/>
  <c r="BH29" i="35"/>
  <c r="BH26" i="35"/>
  <c r="BH37" i="35"/>
  <c r="BH44" i="35"/>
  <c r="BH41" i="35"/>
  <c r="BH25" i="35"/>
  <c r="BH32" i="35"/>
  <c r="BH33" i="35"/>
  <c r="BH31" i="35"/>
  <c r="BH36" i="35"/>
  <c r="BH28" i="35"/>
  <c r="BH34" i="35"/>
  <c r="BH30" i="35"/>
  <c r="C36" i="11" l="1"/>
  <c r="C80" i="1" s="1"/>
  <c r="D5" i="11"/>
  <c r="I15" i="1" s="1"/>
  <c r="BJ21" i="35"/>
  <c r="BJ44" i="35"/>
  <c r="BJ38" i="35"/>
  <c r="BJ41" i="35"/>
  <c r="AC18" i="35"/>
  <c r="AC41" i="35"/>
  <c r="AC19" i="35"/>
  <c r="AC23" i="35"/>
  <c r="BJ10" i="35"/>
  <c r="O43" i="35"/>
  <c r="O12" i="35"/>
  <c r="O13" i="35"/>
  <c r="BJ7" i="35"/>
  <c r="O29" i="35"/>
  <c r="BJ28" i="35"/>
  <c r="BJ30" i="35"/>
  <c r="BJ36" i="35"/>
  <c r="BJ20" i="35"/>
  <c r="AC36" i="35"/>
  <c r="AC25" i="35"/>
  <c r="AC42" i="35"/>
  <c r="BJ8" i="35"/>
  <c r="O36" i="35"/>
  <c r="O34" i="35"/>
  <c r="O35" i="35"/>
  <c r="BJ6" i="35"/>
  <c r="O21" i="35"/>
  <c r="BJ27" i="35"/>
  <c r="BJ34" i="35"/>
  <c r="BJ32" i="35"/>
  <c r="BJ17" i="35"/>
  <c r="AC29" i="35"/>
  <c r="AC40" i="35"/>
  <c r="AC16" i="35"/>
  <c r="AC21" i="35"/>
  <c r="BJ12" i="35"/>
  <c r="O10" i="35"/>
  <c r="O22" i="35"/>
  <c r="O16" i="35"/>
  <c r="O11" i="35"/>
  <c r="O7" i="35"/>
  <c r="O28" i="35"/>
  <c r="BJ5" i="35"/>
  <c r="BJ43" i="35"/>
  <c r="BJ39" i="35"/>
  <c r="BJ33" i="35"/>
  <c r="BJ16" i="35"/>
  <c r="AC17" i="35"/>
  <c r="AC24" i="35"/>
  <c r="AC35" i="35"/>
  <c r="AC20" i="35"/>
  <c r="BJ11" i="35"/>
  <c r="O20" i="35"/>
  <c r="O41" i="35"/>
  <c r="O33" i="35"/>
  <c r="O5" i="35"/>
  <c r="O6" i="35"/>
  <c r="O8" i="35"/>
  <c r="BJ26" i="35"/>
  <c r="AC38" i="35"/>
  <c r="AC33" i="35"/>
  <c r="BJ9" i="35"/>
  <c r="O30" i="35"/>
  <c r="BJ40" i="35"/>
  <c r="BJ37" i="35"/>
  <c r="BJ35" i="35"/>
  <c r="BJ19" i="35"/>
  <c r="AC34" i="35"/>
  <c r="AC44" i="35"/>
  <c r="AC26" i="35"/>
  <c r="AC27" i="35"/>
  <c r="O39" i="35"/>
  <c r="O42" i="35"/>
  <c r="O23" i="35"/>
  <c r="O37" i="35"/>
  <c r="O19" i="35"/>
  <c r="O26" i="35"/>
  <c r="BJ45" i="35"/>
  <c r="O15" i="35"/>
  <c r="BJ31" i="35"/>
  <c r="BJ42" i="35"/>
  <c r="BJ29" i="35"/>
  <c r="BJ18" i="35"/>
  <c r="AC22" i="35"/>
  <c r="AC45" i="35"/>
  <c r="AC28" i="35"/>
  <c r="AC30" i="35"/>
  <c r="O32" i="35"/>
  <c r="O25" i="35"/>
  <c r="O27" i="35"/>
  <c r="O18" i="35"/>
  <c r="O24" i="35"/>
  <c r="O38" i="35"/>
  <c r="BI4" i="35"/>
  <c r="BJ15" i="35"/>
  <c r="O45" i="35"/>
  <c r="O4" i="35"/>
  <c r="P4" i="35" s="1"/>
  <c r="BJ23" i="35"/>
  <c r="BJ22" i="35"/>
  <c r="BJ24" i="35"/>
  <c r="BJ14" i="35"/>
  <c r="AC31" i="35"/>
  <c r="AC32" i="35"/>
  <c r="AC39" i="35"/>
  <c r="AC43" i="35"/>
  <c r="O31" i="35"/>
  <c r="O44" i="35"/>
  <c r="O17" i="35"/>
  <c r="O9" i="35"/>
  <c r="O40" i="35"/>
  <c r="BC4" i="35"/>
  <c r="BJ25" i="35"/>
  <c r="AC37" i="35"/>
  <c r="BJ13" i="35"/>
  <c r="O14" i="35"/>
  <c r="BE4" i="32"/>
  <c r="P5" i="35"/>
  <c r="P9" i="35"/>
  <c r="P34" i="35"/>
  <c r="P17" i="35"/>
  <c r="P15" i="35"/>
  <c r="P31" i="35"/>
  <c r="P23" i="35"/>
  <c r="P36" i="35"/>
  <c r="P30" i="35"/>
  <c r="P11" i="35"/>
  <c r="P8" i="35"/>
  <c r="P6" i="35"/>
  <c r="P19" i="35"/>
  <c r="P38" i="35"/>
  <c r="P18" i="35"/>
  <c r="P40" i="35"/>
  <c r="P43" i="35"/>
  <c r="P41" i="35"/>
  <c r="P44" i="35"/>
  <c r="P32" i="35"/>
  <c r="P29" i="35"/>
  <c r="P33" i="35"/>
  <c r="P10" i="35"/>
  <c r="P22" i="35"/>
  <c r="P21" i="35"/>
  <c r="P14" i="35"/>
  <c r="P26" i="35"/>
  <c r="P27" i="35"/>
  <c r="P35" i="35"/>
  <c r="P20" i="35"/>
  <c r="P24" i="35"/>
  <c r="P12" i="35"/>
  <c r="P39" i="35"/>
  <c r="P13" i="35"/>
  <c r="P45" i="35"/>
  <c r="P28" i="35"/>
  <c r="P25" i="35"/>
  <c r="P42" i="35"/>
  <c r="P37" i="35"/>
  <c r="BD7" i="35"/>
  <c r="BD15" i="35"/>
  <c r="BD14" i="35"/>
  <c r="BD16" i="35"/>
  <c r="BD10" i="35"/>
  <c r="BD11" i="35"/>
  <c r="BD8" i="35"/>
  <c r="BD5" i="35"/>
  <c r="BD13" i="35"/>
  <c r="BD6" i="35"/>
  <c r="BD4" i="35"/>
  <c r="BD12" i="35"/>
  <c r="BD9" i="35"/>
  <c r="BD17" i="35"/>
  <c r="BD19" i="35"/>
  <c r="BD26" i="35"/>
  <c r="BD34" i="35"/>
  <c r="BD41" i="35"/>
  <c r="BD36" i="35"/>
  <c r="BD18" i="35"/>
  <c r="BD40" i="35"/>
  <c r="BD29" i="35"/>
  <c r="BD22" i="35"/>
  <c r="BD27" i="35"/>
  <c r="BD35" i="35"/>
  <c r="BD32" i="35"/>
  <c r="BD38" i="35"/>
  <c r="BD45" i="35"/>
  <c r="BD24" i="35"/>
  <c r="BD42" i="35"/>
  <c r="BD39" i="35"/>
  <c r="BD21" i="35"/>
  <c r="BD44" i="35"/>
  <c r="BD43" i="35"/>
  <c r="BD20" i="35"/>
  <c r="BD25" i="35"/>
  <c r="BD37" i="35"/>
  <c r="BD23" i="35"/>
  <c r="BD28" i="35"/>
  <c r="BD33" i="35"/>
  <c r="BD31" i="35"/>
  <c r="BD30" i="35"/>
  <c r="BE5" i="32"/>
  <c r="P16" i="35"/>
  <c r="P7" i="35"/>
  <c r="BE6" i="32"/>
  <c r="BE7" i="32"/>
  <c r="BE8" i="32"/>
  <c r="BE9" i="32"/>
  <c r="BE10" i="32"/>
  <c r="BE11" i="32"/>
  <c r="BE12" i="32"/>
  <c r="BE13" i="32"/>
  <c r="BE14" i="32"/>
  <c r="BE15" i="32"/>
  <c r="BE16" i="32"/>
  <c r="BE17" i="32"/>
  <c r="BE21" i="32"/>
  <c r="BE22" i="32"/>
  <c r="BE31" i="32"/>
  <c r="BE26" i="32"/>
  <c r="BE36" i="32"/>
  <c r="BE34" i="32"/>
  <c r="BE23" i="32"/>
  <c r="BE27" i="32"/>
  <c r="BE37" i="32"/>
  <c r="BE20" i="32"/>
  <c r="BE44" i="32"/>
  <c r="BE43" i="32"/>
  <c r="BE19" i="32"/>
  <c r="BE35" i="32"/>
  <c r="BE45" i="32"/>
  <c r="BE29" i="32"/>
  <c r="BE25" i="32"/>
  <c r="BE33" i="32"/>
  <c r="BE41" i="32"/>
  <c r="BE24" i="32"/>
  <c r="BE42" i="32"/>
  <c r="BE32" i="32"/>
  <c r="BE40" i="32"/>
  <c r="BE28" i="32"/>
  <c r="BE38" i="32"/>
  <c r="BE39" i="32"/>
  <c r="BE18" i="32"/>
  <c r="BE30" i="32"/>
  <c r="BF30" i="32" l="1"/>
  <c r="J32" i="21" s="1"/>
  <c r="BF18" i="32"/>
  <c r="J20" i="21" s="1"/>
  <c r="BF39" i="32"/>
  <c r="J41" i="21" s="1"/>
  <c r="BF38" i="32"/>
  <c r="J40" i="21" s="1"/>
  <c r="BF28" i="32"/>
  <c r="J30" i="21" s="1"/>
  <c r="BF40" i="32"/>
  <c r="J42" i="21" s="1"/>
  <c r="BF32" i="32"/>
  <c r="J34" i="21" s="1"/>
  <c r="BF42" i="32"/>
  <c r="J44" i="21" s="1"/>
  <c r="BF24" i="32"/>
  <c r="J26" i="21" s="1"/>
  <c r="BF41" i="32"/>
  <c r="J43" i="21" s="1"/>
  <c r="BF33" i="32"/>
  <c r="J35" i="21" s="1"/>
  <c r="BF25" i="32"/>
  <c r="J27" i="21" s="1"/>
  <c r="BF29" i="32"/>
  <c r="J31" i="21" s="1"/>
  <c r="BF45" i="32"/>
  <c r="BF35" i="32"/>
  <c r="J37" i="21" s="1"/>
  <c r="BF19" i="32"/>
  <c r="J21" i="21" s="1"/>
  <c r="BF43" i="32"/>
  <c r="J45" i="21" s="1"/>
  <c r="BF44" i="32"/>
  <c r="BF20" i="32"/>
  <c r="J22" i="21" s="1"/>
  <c r="BF37" i="32"/>
  <c r="J39" i="21" s="1"/>
  <c r="BF27" i="32"/>
  <c r="J29" i="21" s="1"/>
  <c r="BF23" i="32"/>
  <c r="J25" i="21" s="1"/>
  <c r="BF34" i="32"/>
  <c r="J36" i="21" s="1"/>
  <c r="BF36" i="32"/>
  <c r="J38" i="21" s="1"/>
  <c r="BF26" i="32"/>
  <c r="J28" i="21" s="1"/>
  <c r="BF31" i="32"/>
  <c r="J33" i="21" s="1"/>
  <c r="BF22" i="32"/>
  <c r="J24" i="21" s="1"/>
  <c r="BF21" i="32"/>
  <c r="J23" i="21" s="1"/>
  <c r="BF17" i="32"/>
  <c r="J19" i="21" s="1"/>
  <c r="Q7" i="35"/>
  <c r="Y9" i="21" s="1"/>
  <c r="Q16" i="35"/>
  <c r="Y18" i="21" s="1"/>
  <c r="Q37" i="35"/>
  <c r="Y39" i="21" s="1"/>
  <c r="Q42" i="35"/>
  <c r="Y44" i="21" s="1"/>
  <c r="Q25" i="35"/>
  <c r="Y27" i="21" s="1"/>
  <c r="Q28" i="35"/>
  <c r="Y30" i="21" s="1"/>
  <c r="Q45" i="35"/>
  <c r="Q13" i="35"/>
  <c r="Y15" i="21" s="1"/>
  <c r="Q39" i="35"/>
  <c r="Y41" i="21" s="1"/>
  <c r="Q12" i="35"/>
  <c r="Y14" i="21" s="1"/>
  <c r="Q24" i="35"/>
  <c r="Y26" i="21" s="1"/>
  <c r="Q20" i="35"/>
  <c r="Y22" i="21" s="1"/>
  <c r="Q35" i="35"/>
  <c r="Y37" i="21" s="1"/>
  <c r="Q27" i="35"/>
  <c r="Y29" i="21" s="1"/>
  <c r="Q26" i="35"/>
  <c r="Y28" i="21" s="1"/>
  <c r="Q14" i="35"/>
  <c r="Y16" i="21" s="1"/>
  <c r="Q21" i="35"/>
  <c r="Y23" i="21" s="1"/>
  <c r="Q22" i="35"/>
  <c r="Y24" i="21" s="1"/>
  <c r="Q10" i="35"/>
  <c r="Y12" i="21" s="1"/>
  <c r="Q33" i="35"/>
  <c r="Y35" i="21" s="1"/>
  <c r="Q29" i="35"/>
  <c r="Y31" i="21" s="1"/>
  <c r="Q32" i="35"/>
  <c r="Y34" i="21" s="1"/>
  <c r="Q44" i="35"/>
  <c r="Q41" i="35"/>
  <c r="Y43" i="21" s="1"/>
  <c r="Q43" i="35"/>
  <c r="Y45" i="21" s="1"/>
  <c r="Q40" i="35"/>
  <c r="Y42" i="21" s="1"/>
  <c r="Q18" i="35"/>
  <c r="Y20" i="21" s="1"/>
  <c r="Q38" i="35"/>
  <c r="Y40" i="21" s="1"/>
  <c r="Q19" i="35"/>
  <c r="Y21" i="21" s="1"/>
  <c r="Q6" i="35"/>
  <c r="Y8" i="21" s="1"/>
  <c r="Q8" i="35"/>
  <c r="Y10" i="21" s="1"/>
  <c r="Q11" i="35"/>
  <c r="Y13" i="21" s="1"/>
  <c r="Q30" i="35"/>
  <c r="Y32" i="21" s="1"/>
  <c r="Q36" i="35"/>
  <c r="Y38" i="21" s="1"/>
  <c r="Q23" i="35"/>
  <c r="Y25" i="21" s="1"/>
  <c r="Q31" i="35"/>
  <c r="Y33" i="21" s="1"/>
  <c r="Q15" i="35"/>
  <c r="Y17" i="21" s="1"/>
  <c r="Q17" i="35"/>
  <c r="Y19" i="21" s="1"/>
  <c r="Q34" i="35"/>
  <c r="Y36" i="21" s="1"/>
  <c r="Q9" i="35"/>
  <c r="Y11" i="21" s="1"/>
  <c r="Q5" i="35"/>
  <c r="Y7" i="21" s="1"/>
  <c r="BF13" i="32"/>
  <c r="BF12" i="32"/>
  <c r="Q4" i="35"/>
  <c r="BF11" i="32"/>
  <c r="BF5" i="32"/>
  <c r="BF10" i="32"/>
  <c r="BE4" i="35"/>
  <c r="BF4" i="32"/>
  <c r="BF16" i="32"/>
  <c r="BF9" i="32"/>
  <c r="BJ4" i="35"/>
  <c r="BF15" i="32"/>
  <c r="BF7" i="32"/>
  <c r="BF8" i="32"/>
  <c r="BF14" i="32"/>
  <c r="BF6" i="32"/>
  <c r="BE5" i="35"/>
  <c r="BE6" i="35"/>
  <c r="BE7" i="35"/>
  <c r="BE8" i="35"/>
  <c r="BE9" i="35"/>
  <c r="BE10" i="35"/>
  <c r="BE11" i="35"/>
  <c r="BE12" i="35"/>
  <c r="BE13" i="35"/>
  <c r="BE14" i="35"/>
  <c r="BE15" i="35"/>
  <c r="BE16" i="35"/>
  <c r="BE17" i="35"/>
  <c r="BE43" i="35"/>
  <c r="BE32" i="35"/>
  <c r="BE35" i="35"/>
  <c r="BE18" i="35"/>
  <c r="BE34" i="35"/>
  <c r="BE26" i="35"/>
  <c r="BE21" i="35"/>
  <c r="BE23" i="35"/>
  <c r="BE38" i="35"/>
  <c r="BE37" i="35"/>
  <c r="BE20" i="35"/>
  <c r="BE40" i="35"/>
  <c r="BE45" i="35"/>
  <c r="BE28" i="35"/>
  <c r="BE44" i="35"/>
  <c r="BE33" i="35"/>
  <c r="BE36" i="35"/>
  <c r="BE30" i="35"/>
  <c r="BE42" i="35"/>
  <c r="BE31" i="35"/>
  <c r="BE39" i="35"/>
  <c r="BE22" i="35"/>
  <c r="BE27" i="35"/>
  <c r="BE25" i="35"/>
  <c r="BE19" i="35"/>
  <c r="BE24" i="35"/>
  <c r="BE41" i="35"/>
  <c r="BE29" i="35"/>
  <c r="BF29" i="35" l="1"/>
  <c r="U31" i="21" s="1"/>
  <c r="BF41" i="35"/>
  <c r="U43" i="21" s="1"/>
  <c r="BF24" i="35"/>
  <c r="U26" i="21" s="1"/>
  <c r="BF19" i="35"/>
  <c r="U21" i="21" s="1"/>
  <c r="BF25" i="35"/>
  <c r="U27" i="21" s="1"/>
  <c r="BF27" i="35"/>
  <c r="U29" i="21" s="1"/>
  <c r="BF22" i="35"/>
  <c r="U24" i="21" s="1"/>
  <c r="BF39" i="35"/>
  <c r="U41" i="21" s="1"/>
  <c r="BF31" i="35"/>
  <c r="U33" i="21" s="1"/>
  <c r="BF42" i="35"/>
  <c r="U44" i="21" s="1"/>
  <c r="BF30" i="35"/>
  <c r="U32" i="21" s="1"/>
  <c r="BF36" i="35"/>
  <c r="U38" i="21" s="1"/>
  <c r="BF33" i="35"/>
  <c r="U35" i="21" s="1"/>
  <c r="BF44" i="35"/>
  <c r="BF28" i="35"/>
  <c r="U30" i="21" s="1"/>
  <c r="BF45" i="35"/>
  <c r="BF40" i="35"/>
  <c r="U42" i="21" s="1"/>
  <c r="BF20" i="35"/>
  <c r="U22" i="21" s="1"/>
  <c r="BF37" i="35"/>
  <c r="U39" i="21" s="1"/>
  <c r="BF38" i="35"/>
  <c r="U40" i="21" s="1"/>
  <c r="BF23" i="35"/>
  <c r="U25" i="21" s="1"/>
  <c r="BF21" i="35"/>
  <c r="U23" i="21" s="1"/>
  <c r="BF26" i="35"/>
  <c r="U28" i="21" s="1"/>
  <c r="BF34" i="35"/>
  <c r="U36" i="21" s="1"/>
  <c r="BF18" i="35"/>
  <c r="U20" i="21" s="1"/>
  <c r="BF35" i="35"/>
  <c r="U37" i="21" s="1"/>
  <c r="BF32" i="35"/>
  <c r="U34" i="21" s="1"/>
  <c r="BF43" i="35"/>
  <c r="U45" i="21" s="1"/>
  <c r="BF17" i="35"/>
  <c r="U19" i="21" s="1"/>
  <c r="J8" i="21"/>
  <c r="J16" i="21"/>
  <c r="J10" i="21"/>
  <c r="J9" i="21"/>
  <c r="J4" i="21" s="1"/>
  <c r="J17" i="21"/>
  <c r="J11" i="21"/>
  <c r="J18" i="21"/>
  <c r="J6" i="21"/>
  <c r="J12" i="21"/>
  <c r="J7" i="21"/>
  <c r="J13" i="21"/>
  <c r="Y6" i="21"/>
  <c r="Y4" i="21" s="1"/>
  <c r="C38" i="10" s="1"/>
  <c r="J14" i="21"/>
  <c r="J15" i="21"/>
  <c r="BF12" i="35"/>
  <c r="BF11" i="35"/>
  <c r="BF10" i="35"/>
  <c r="BF4" i="35"/>
  <c r="BF13" i="35"/>
  <c r="BF5" i="35"/>
  <c r="BF9" i="35"/>
  <c r="BF16" i="35"/>
  <c r="BF8" i="35"/>
  <c r="BF15" i="35"/>
  <c r="BF7" i="35"/>
  <c r="BF14" i="35"/>
  <c r="BF6" i="35"/>
  <c r="BK4" i="35"/>
  <c r="BK5" i="35"/>
  <c r="BK6" i="35"/>
  <c r="BK7" i="35"/>
  <c r="BK8" i="35"/>
  <c r="BK9" i="35"/>
  <c r="BK25" i="35"/>
  <c r="BK28" i="35"/>
  <c r="BK30" i="35"/>
  <c r="BK24" i="35"/>
  <c r="BK32" i="35"/>
  <c r="BK38" i="35"/>
  <c r="BK10" i="35"/>
  <c r="BK20" i="35"/>
  <c r="BK11" i="35"/>
  <c r="BK36" i="35"/>
  <c r="BK21" i="35"/>
  <c r="BK14" i="35"/>
  <c r="BK40" i="35"/>
  <c r="BK41" i="35"/>
  <c r="BK42" i="35"/>
  <c r="BK26" i="35"/>
  <c r="BK45" i="35"/>
  <c r="BK33" i="35"/>
  <c r="BK16" i="35"/>
  <c r="BK17" i="35"/>
  <c r="BK35" i="35"/>
  <c r="BK29" i="35"/>
  <c r="BK34" i="35"/>
  <c r="BK22" i="35"/>
  <c r="BK39" i="35"/>
  <c r="BK13" i="35"/>
  <c r="BK43" i="35"/>
  <c r="BK23" i="35"/>
  <c r="BK18" i="35"/>
  <c r="BK19" i="35"/>
  <c r="BK12" i="35"/>
  <c r="BK27" i="35"/>
  <c r="BK44" i="35"/>
  <c r="BK15" i="35"/>
  <c r="BK37" i="35"/>
  <c r="BK31" i="35"/>
  <c r="BL31" i="35" l="1"/>
  <c r="X33" i="21" s="1"/>
  <c r="BL37" i="35"/>
  <c r="X39" i="21" s="1"/>
  <c r="BL15" i="35"/>
  <c r="X17" i="21" s="1"/>
  <c r="BL44" i="35"/>
  <c r="BL27" i="35"/>
  <c r="X29" i="21" s="1"/>
  <c r="BL12" i="35"/>
  <c r="X14" i="21" s="1"/>
  <c r="BL19" i="35"/>
  <c r="X21" i="21" s="1"/>
  <c r="BL18" i="35"/>
  <c r="X20" i="21" s="1"/>
  <c r="BL23" i="35"/>
  <c r="X25" i="21" s="1"/>
  <c r="BL43" i="35"/>
  <c r="X45" i="21" s="1"/>
  <c r="BL13" i="35"/>
  <c r="X15" i="21" s="1"/>
  <c r="BL39" i="35"/>
  <c r="X41" i="21" s="1"/>
  <c r="BL22" i="35"/>
  <c r="X24" i="21" s="1"/>
  <c r="BL34" i="35"/>
  <c r="X36" i="21" s="1"/>
  <c r="BL29" i="35"/>
  <c r="X31" i="21" s="1"/>
  <c r="BL35" i="35"/>
  <c r="X37" i="21" s="1"/>
  <c r="BL17" i="35"/>
  <c r="X19" i="21" s="1"/>
  <c r="BL16" i="35"/>
  <c r="X18" i="21" s="1"/>
  <c r="BL33" i="35"/>
  <c r="X35" i="21" s="1"/>
  <c r="BL45" i="35"/>
  <c r="BL26" i="35"/>
  <c r="X28" i="21" s="1"/>
  <c r="BL42" i="35"/>
  <c r="X44" i="21" s="1"/>
  <c r="BL41" i="35"/>
  <c r="X43" i="21" s="1"/>
  <c r="BL40" i="35"/>
  <c r="X42" i="21" s="1"/>
  <c r="BL14" i="35"/>
  <c r="X16" i="21" s="1"/>
  <c r="BL21" i="35"/>
  <c r="X23" i="21" s="1"/>
  <c r="BL36" i="35"/>
  <c r="X38" i="21" s="1"/>
  <c r="BL11" i="35"/>
  <c r="X13" i="21" s="1"/>
  <c r="BL20" i="35"/>
  <c r="X22" i="21" s="1"/>
  <c r="BL10" i="35"/>
  <c r="X12" i="21" s="1"/>
  <c r="BL38" i="35"/>
  <c r="X40" i="21" s="1"/>
  <c r="BL32" i="35"/>
  <c r="X34" i="21" s="1"/>
  <c r="BL24" i="35"/>
  <c r="X26" i="21" s="1"/>
  <c r="BL30" i="35"/>
  <c r="X32" i="21" s="1"/>
  <c r="BL28" i="35"/>
  <c r="X30" i="21" s="1"/>
  <c r="BL25" i="35"/>
  <c r="X27" i="21" s="1"/>
  <c r="BL9" i="35"/>
  <c r="X11" i="21" s="1"/>
  <c r="U8" i="21"/>
  <c r="U16" i="21"/>
  <c r="U9" i="21"/>
  <c r="U4" i="21" s="1"/>
  <c r="U17" i="21"/>
  <c r="U10" i="21"/>
  <c r="U18" i="21"/>
  <c r="U11" i="21"/>
  <c r="U7" i="21"/>
  <c r="U15" i="21"/>
  <c r="U6" i="21"/>
  <c r="U12" i="21"/>
  <c r="U13" i="21"/>
  <c r="U14" i="21"/>
  <c r="D3" i="11"/>
  <c r="I17" i="1" s="1"/>
  <c r="C29" i="10"/>
  <c r="BL5" i="35"/>
  <c r="K42" i="10"/>
  <c r="H42" i="10"/>
  <c r="BL4" i="35"/>
  <c r="O41" i="10"/>
  <c r="O48" i="10"/>
  <c r="N46" i="10"/>
  <c r="K48" i="10"/>
  <c r="K40" i="10"/>
  <c r="K43" i="10"/>
  <c r="L48" i="10"/>
  <c r="I48" i="10"/>
  <c r="D12" i="11"/>
  <c r="H38" i="10"/>
  <c r="H39" i="10"/>
  <c r="F46" i="10"/>
  <c r="E38" i="10"/>
  <c r="N43" i="10"/>
  <c r="O46" i="10"/>
  <c r="H44" i="10"/>
  <c r="N44" i="10"/>
  <c r="F40" i="10"/>
  <c r="E46" i="10"/>
  <c r="K41" i="10"/>
  <c r="K47" i="10"/>
  <c r="L47" i="10"/>
  <c r="K44" i="10"/>
  <c r="L38" i="10"/>
  <c r="O44" i="10"/>
  <c r="H46" i="10"/>
  <c r="E42" i="10"/>
  <c r="I38" i="10"/>
  <c r="E43" i="10"/>
  <c r="I43" i="10"/>
  <c r="K38" i="10"/>
  <c r="O39" i="10"/>
  <c r="F42" i="10"/>
  <c r="H40" i="10"/>
  <c r="N39" i="10"/>
  <c r="H41" i="10"/>
  <c r="L39" i="10"/>
  <c r="O43" i="10"/>
  <c r="O45" i="10"/>
  <c r="N48" i="10"/>
  <c r="F43" i="10"/>
  <c r="E40" i="10"/>
  <c r="K45" i="10"/>
  <c r="L46" i="10"/>
  <c r="H43" i="10"/>
  <c r="O47" i="10"/>
  <c r="L41" i="10"/>
  <c r="O7" i="8"/>
  <c r="AL4" i="32"/>
  <c r="BL6" i="35"/>
  <c r="H47" i="10"/>
  <c r="F47" i="10"/>
  <c r="N38" i="10"/>
  <c r="I42" i="10"/>
  <c r="E44" i="10"/>
  <c r="F48" i="10"/>
  <c r="F39" i="10"/>
  <c r="L42" i="10"/>
  <c r="F44" i="10"/>
  <c r="BL8" i="35"/>
  <c r="I40" i="10"/>
  <c r="N42" i="10"/>
  <c r="L43" i="10"/>
  <c r="N47" i="10"/>
  <c r="F38" i="10"/>
  <c r="L44" i="10"/>
  <c r="I47" i="10"/>
  <c r="L40" i="10"/>
  <c r="E39" i="10"/>
  <c r="F41" i="10"/>
  <c r="O40" i="10"/>
  <c r="E48" i="10"/>
  <c r="N45" i="10"/>
  <c r="N40" i="10"/>
  <c r="K46" i="10"/>
  <c r="O42" i="10"/>
  <c r="I44" i="10"/>
  <c r="H45" i="10"/>
  <c r="E45" i="10"/>
  <c r="BL7" i="35"/>
  <c r="F45" i="10"/>
  <c r="E41" i="10"/>
  <c r="I46" i="10"/>
  <c r="E47" i="10"/>
  <c r="D11" i="11"/>
  <c r="I41" i="10"/>
  <c r="I45" i="10"/>
  <c r="N41" i="10"/>
  <c r="I39" i="10"/>
  <c r="H48" i="10"/>
  <c r="O38" i="10"/>
  <c r="AA4" i="32"/>
  <c r="K39" i="10"/>
  <c r="L45" i="10"/>
  <c r="AL5" i="32"/>
  <c r="AL6" i="32"/>
  <c r="AL7" i="32"/>
  <c r="AA5" i="32"/>
  <c r="AL8" i="32"/>
  <c r="AA6" i="32"/>
  <c r="AA7" i="32"/>
  <c r="AL9" i="32"/>
  <c r="AL24" i="32"/>
  <c r="AL22" i="32"/>
  <c r="AL45" i="32"/>
  <c r="AL40" i="32"/>
  <c r="AL35" i="32"/>
  <c r="AL10" i="32"/>
  <c r="AA8" i="32"/>
  <c r="AA9" i="32"/>
  <c r="AL15" i="32"/>
  <c r="AL44" i="32"/>
  <c r="AL11" i="32"/>
  <c r="AL14" i="32"/>
  <c r="AL33" i="32"/>
  <c r="AL16" i="32"/>
  <c r="AL21" i="32"/>
  <c r="AL28" i="32"/>
  <c r="AL25" i="32"/>
  <c r="AL43" i="32"/>
  <c r="AL17" i="32"/>
  <c r="AL37" i="32"/>
  <c r="AL26" i="32"/>
  <c r="AL19" i="32"/>
  <c r="AL38" i="32"/>
  <c r="AL30" i="32"/>
  <c r="AL18" i="32"/>
  <c r="AL39" i="32"/>
  <c r="AL27" i="32"/>
  <c r="AL41" i="32"/>
  <c r="AL20" i="32"/>
  <c r="AL32" i="32"/>
  <c r="AL23" i="32"/>
  <c r="AL13" i="32"/>
  <c r="AL34" i="32"/>
  <c r="AL36" i="32"/>
  <c r="AL31" i="32"/>
  <c r="AL42" i="32"/>
  <c r="AL12" i="32"/>
  <c r="AL29" i="32"/>
  <c r="AA33" i="32"/>
  <c r="AA24" i="32"/>
  <c r="AA21" i="32"/>
  <c r="AA17" i="32"/>
  <c r="AA42" i="32"/>
  <c r="AA20" i="32"/>
  <c r="AA27" i="32"/>
  <c r="AA32" i="32"/>
  <c r="AA41" i="32"/>
  <c r="AA35" i="32"/>
  <c r="AA15" i="32"/>
  <c r="AA40" i="32"/>
  <c r="AA25" i="32"/>
  <c r="AA23" i="32"/>
  <c r="AA34" i="32"/>
  <c r="AA45" i="32"/>
  <c r="AA22" i="32"/>
  <c r="AA43" i="32"/>
  <c r="AA36" i="32"/>
  <c r="AA26" i="32"/>
  <c r="AA14" i="32"/>
  <c r="AA29" i="32"/>
  <c r="AA11" i="32"/>
  <c r="AA28" i="32"/>
  <c r="AA37" i="32"/>
  <c r="AA30" i="32"/>
  <c r="AA44" i="32"/>
  <c r="AA18" i="32"/>
  <c r="AA16" i="32"/>
  <c r="AA12" i="32"/>
  <c r="AA39" i="32"/>
  <c r="AA10" i="32"/>
  <c r="AA13" i="32"/>
  <c r="AA31" i="32"/>
  <c r="AA19" i="32"/>
  <c r="AA38" i="32"/>
  <c r="AB38" i="32" l="1"/>
  <c r="AB19" i="32"/>
  <c r="AB31" i="32"/>
  <c r="AB13" i="32"/>
  <c r="AB10" i="32"/>
  <c r="AB39" i="32"/>
  <c r="AB12" i="32"/>
  <c r="AB16" i="32"/>
  <c r="AB18" i="32"/>
  <c r="AB44" i="32"/>
  <c r="AB30" i="32"/>
  <c r="AB37" i="32"/>
  <c r="AB28" i="32"/>
  <c r="AB11" i="32"/>
  <c r="AB29" i="32"/>
  <c r="AB14" i="32"/>
  <c r="AB26" i="32"/>
  <c r="AB36" i="32"/>
  <c r="AB43" i="32"/>
  <c r="AB22" i="32"/>
  <c r="AB45" i="32"/>
  <c r="AB34" i="32"/>
  <c r="AB23" i="32"/>
  <c r="AB25" i="32"/>
  <c r="AB40" i="32"/>
  <c r="AB15" i="32"/>
  <c r="AB35" i="32"/>
  <c r="AB41" i="32"/>
  <c r="AB32" i="32"/>
  <c r="AB27" i="32"/>
  <c r="AB20" i="32"/>
  <c r="AB42" i="32"/>
  <c r="AB17" i="32"/>
  <c r="AB21" i="32"/>
  <c r="AB24" i="32"/>
  <c r="AB33" i="32"/>
  <c r="AM29" i="32"/>
  <c r="AM12" i="32"/>
  <c r="AM42" i="32"/>
  <c r="AM31" i="32"/>
  <c r="AM36" i="32"/>
  <c r="AM34" i="32"/>
  <c r="AM13" i="32"/>
  <c r="AM23" i="32"/>
  <c r="AM32" i="32"/>
  <c r="AM20" i="32"/>
  <c r="AM41" i="32"/>
  <c r="AM27" i="32"/>
  <c r="AM39" i="32"/>
  <c r="AM18" i="32"/>
  <c r="AM30" i="32"/>
  <c r="AM38" i="32"/>
  <c r="AM19" i="32"/>
  <c r="AM26" i="32"/>
  <c r="AM37" i="32"/>
  <c r="AM17" i="32"/>
  <c r="AM43" i="32"/>
  <c r="AM25" i="32"/>
  <c r="AM28" i="32"/>
  <c r="AM21" i="32"/>
  <c r="AM16" i="32"/>
  <c r="AM33" i="32"/>
  <c r="AM14" i="32"/>
  <c r="AM11" i="32"/>
  <c r="AM44" i="32"/>
  <c r="AM15" i="32"/>
  <c r="AB9" i="32"/>
  <c r="AM10" i="32"/>
  <c r="AM35" i="32"/>
  <c r="AM40" i="32"/>
  <c r="AM45" i="32"/>
  <c r="AM22" i="32"/>
  <c r="AM24" i="32"/>
  <c r="AM9" i="32"/>
  <c r="M43" i="38"/>
  <c r="V36" i="38"/>
  <c r="D37" i="38"/>
  <c r="D43" i="38"/>
  <c r="D39" i="38"/>
  <c r="C13" i="11"/>
  <c r="C15" i="11" s="1"/>
  <c r="D44" i="38"/>
  <c r="D15" i="38"/>
  <c r="X9" i="21"/>
  <c r="X4" i="21" s="1"/>
  <c r="F51" i="10" s="1"/>
  <c r="D42" i="38"/>
  <c r="V40" i="38"/>
  <c r="V38" i="38"/>
  <c r="D11" i="38"/>
  <c r="M38" i="38"/>
  <c r="D45" i="38"/>
  <c r="M42" i="38"/>
  <c r="D8" i="38"/>
  <c r="M41" i="38"/>
  <c r="D38" i="38"/>
  <c r="X10" i="21"/>
  <c r="D14" i="38"/>
  <c r="M40" i="38"/>
  <c r="D9" i="38"/>
  <c r="D18" i="38"/>
  <c r="D40" i="38"/>
  <c r="D17" i="38"/>
  <c r="X8" i="21"/>
  <c r="M39" i="38"/>
  <c r="V45" i="38"/>
  <c r="M44" i="38"/>
  <c r="D13" i="38"/>
  <c r="V43" i="38"/>
  <c r="V41" i="38"/>
  <c r="M37" i="38"/>
  <c r="D12" i="38"/>
  <c r="V37" i="38"/>
  <c r="D41" i="38"/>
  <c r="D36" i="38"/>
  <c r="V42" i="38"/>
  <c r="M36" i="38"/>
  <c r="M45" i="38"/>
  <c r="D10" i="38"/>
  <c r="V44" i="38"/>
  <c r="D16" i="38"/>
  <c r="C14" i="11"/>
  <c r="C16" i="11" s="1"/>
  <c r="D46" i="38"/>
  <c r="M46" i="38"/>
  <c r="V46" i="38"/>
  <c r="V39" i="38"/>
  <c r="X6" i="21"/>
  <c r="X7" i="21"/>
  <c r="C54" i="10"/>
  <c r="C21" i="11"/>
  <c r="C35" i="11"/>
  <c r="D55" i="10"/>
  <c r="D30" i="10"/>
  <c r="AM6" i="32"/>
  <c r="P7" i="8"/>
  <c r="AA4" i="35"/>
  <c r="AM8" i="32"/>
  <c r="AM5" i="32"/>
  <c r="O8" i="8"/>
  <c r="D29" i="10"/>
  <c r="AB8" i="32"/>
  <c r="AB7" i="32"/>
  <c r="AL4" i="35"/>
  <c r="AA5" i="35"/>
  <c r="AB6" i="32"/>
  <c r="AB4" i="32"/>
  <c r="AL5" i="35"/>
  <c r="AA6" i="35"/>
  <c r="AM7" i="32"/>
  <c r="AB5" i="32"/>
  <c r="AM4" i="32"/>
  <c r="AL6" i="35"/>
  <c r="AL7" i="35"/>
  <c r="AA7" i="35"/>
  <c r="AC14" i="32"/>
  <c r="AC11" i="32"/>
  <c r="AC10" i="32"/>
  <c r="AC4" i="32"/>
  <c r="AD4" i="32" s="1"/>
  <c r="AC8" i="32"/>
  <c r="AC12" i="32"/>
  <c r="AC7" i="32"/>
  <c r="AC9" i="32"/>
  <c r="AC5" i="32"/>
  <c r="AC6" i="32"/>
  <c r="AC13" i="32"/>
  <c r="AC15" i="32"/>
  <c r="AL8" i="35"/>
  <c r="AA8" i="35"/>
  <c r="AA9" i="35"/>
  <c r="AA33" i="35"/>
  <c r="AE4" i="32"/>
  <c r="AD5" i="32"/>
  <c r="AE5" i="32"/>
  <c r="AD6" i="32"/>
  <c r="AL9" i="35"/>
  <c r="AL28" i="35"/>
  <c r="AL29" i="35"/>
  <c r="AL13" i="35"/>
  <c r="AL11" i="35"/>
  <c r="AL22" i="35"/>
  <c r="AL19" i="35"/>
  <c r="AA13" i="35"/>
  <c r="AA25" i="35"/>
  <c r="AA27" i="35"/>
  <c r="AA23" i="35"/>
  <c r="AA20" i="35"/>
  <c r="AA16" i="35"/>
  <c r="AA34" i="35"/>
  <c r="AA41" i="35"/>
  <c r="AA44" i="35"/>
  <c r="AA43" i="35"/>
  <c r="AA22" i="35"/>
  <c r="AA39" i="35"/>
  <c r="AA37" i="35"/>
  <c r="AA42" i="35"/>
  <c r="AA18" i="35"/>
  <c r="AA17" i="35"/>
  <c r="AA10" i="35"/>
  <c r="AA30" i="35"/>
  <c r="AA29" i="35"/>
  <c r="AA21" i="35"/>
  <c r="AA35" i="35"/>
  <c r="AA28" i="35"/>
  <c r="AA19" i="35"/>
  <c r="AA12" i="35"/>
  <c r="AA32" i="35"/>
  <c r="AA24" i="35"/>
  <c r="AA31" i="35"/>
  <c r="AA40" i="35"/>
  <c r="AA45" i="35"/>
  <c r="AA36" i="35"/>
  <c r="AA38" i="35"/>
  <c r="AA15" i="35"/>
  <c r="AA11" i="35"/>
  <c r="AA14" i="35"/>
  <c r="AA26" i="35"/>
  <c r="AD7" i="32"/>
  <c r="AD10" i="32"/>
  <c r="AD14" i="32"/>
  <c r="AD38" i="32"/>
  <c r="AD40" i="32"/>
  <c r="AD35" i="32"/>
  <c r="AE44" i="32"/>
  <c r="AD11" i="32"/>
  <c r="AE15" i="32"/>
  <c r="AD18" i="32"/>
  <c r="AD31" i="32"/>
  <c r="AD12" i="32"/>
  <c r="AD15" i="32"/>
  <c r="AE27" i="32"/>
  <c r="AD36" i="32"/>
  <c r="AE33" i="32"/>
  <c r="AE40" i="32"/>
  <c r="AE17" i="32"/>
  <c r="AE30" i="32"/>
  <c r="AE19" i="32"/>
  <c r="AE6" i="32"/>
  <c r="AE10" i="32"/>
  <c r="AD16" i="32"/>
  <c r="AE18" i="32"/>
  <c r="AD8" i="32"/>
  <c r="AE11" i="32"/>
  <c r="AE16" i="32"/>
  <c r="AE42" i="32"/>
  <c r="AE24" i="32"/>
  <c r="AD22" i="32"/>
  <c r="AD33" i="32"/>
  <c r="AD34" i="32"/>
  <c r="AD28" i="32"/>
  <c r="AD30" i="32"/>
  <c r="AL30" i="35"/>
  <c r="AL43" i="35"/>
  <c r="AL41" i="35"/>
  <c r="AL18" i="35"/>
  <c r="AL38" i="35"/>
  <c r="AL25" i="35"/>
  <c r="AL36" i="35"/>
  <c r="AL17" i="35"/>
  <c r="AL39" i="35"/>
  <c r="AL40" i="35"/>
  <c r="AL12" i="35"/>
  <c r="AL15" i="35"/>
  <c r="AL21" i="35"/>
  <c r="AL14" i="35"/>
  <c r="AL35" i="35"/>
  <c r="AL34" i="35"/>
  <c r="AL42" i="35"/>
  <c r="AL23" i="35"/>
  <c r="AL27" i="35"/>
  <c r="AL33" i="35"/>
  <c r="AL10" i="35"/>
  <c r="AL31" i="35"/>
  <c r="AL16" i="35"/>
  <c r="AL45" i="35"/>
  <c r="AL20" i="35"/>
  <c r="AL32" i="35"/>
  <c r="AL44" i="35"/>
  <c r="AL26" i="35"/>
  <c r="AL24" i="35"/>
  <c r="AL37" i="35"/>
  <c r="AE26" i="32"/>
  <c r="AD21" i="32"/>
  <c r="AE38" i="32"/>
  <c r="AE35" i="32"/>
  <c r="AE14" i="32"/>
  <c r="AE7" i="32"/>
  <c r="AE20" i="32"/>
  <c r="AD24" i="32"/>
  <c r="AD19" i="32"/>
  <c r="AE36" i="32"/>
  <c r="AE39" i="32"/>
  <c r="AE45" i="32"/>
  <c r="AD32" i="32"/>
  <c r="AD39" i="32"/>
  <c r="AE41" i="32"/>
  <c r="AE31" i="32"/>
  <c r="AE22" i="32"/>
  <c r="AE13" i="32"/>
  <c r="AE9" i="32"/>
  <c r="AD44" i="32"/>
  <c r="AD25" i="32"/>
  <c r="AE43" i="32"/>
  <c r="AD43" i="32"/>
  <c r="AD17" i="32"/>
  <c r="AE29" i="32"/>
  <c r="AD41" i="32"/>
  <c r="AE8" i="32"/>
  <c r="AE23" i="32"/>
  <c r="AE37" i="32"/>
  <c r="AD42" i="32"/>
  <c r="AE28" i="32"/>
  <c r="AD37" i="32"/>
  <c r="AE34" i="32"/>
  <c r="AE21" i="32"/>
  <c r="AD26" i="32"/>
  <c r="AD13" i="32"/>
  <c r="AD9" i="32"/>
  <c r="AD45" i="32"/>
  <c r="AE25" i="32"/>
  <c r="AD20" i="32"/>
  <c r="AD29" i="32"/>
  <c r="AD23" i="32"/>
  <c r="AD27" i="32"/>
  <c r="AE32" i="32"/>
  <c r="AE12" i="32"/>
  <c r="AM37" i="35" l="1"/>
  <c r="AM24" i="35"/>
  <c r="AM26" i="35"/>
  <c r="AM44" i="35"/>
  <c r="AM32" i="35"/>
  <c r="AM20" i="35"/>
  <c r="AM45" i="35"/>
  <c r="AM16" i="35"/>
  <c r="AM31" i="35"/>
  <c r="AM10" i="35"/>
  <c r="AM33" i="35"/>
  <c r="AM27" i="35"/>
  <c r="AM23" i="35"/>
  <c r="AM42" i="35"/>
  <c r="AM34" i="35"/>
  <c r="AM35" i="35"/>
  <c r="AM14" i="35"/>
  <c r="AM21" i="35"/>
  <c r="AM15" i="35"/>
  <c r="AM12" i="35"/>
  <c r="AM40" i="35"/>
  <c r="AM39" i="35"/>
  <c r="AM17" i="35"/>
  <c r="AM36" i="35"/>
  <c r="AM25" i="35"/>
  <c r="AM38" i="35"/>
  <c r="AM18" i="35"/>
  <c r="AM41" i="35"/>
  <c r="AM43" i="35"/>
  <c r="AM30" i="35"/>
  <c r="AB26" i="35"/>
  <c r="AB14" i="35"/>
  <c r="AB11" i="35"/>
  <c r="AB15" i="35"/>
  <c r="AB38" i="35"/>
  <c r="AB36" i="35"/>
  <c r="AB45" i="35"/>
  <c r="AB40" i="35"/>
  <c r="AB31" i="35"/>
  <c r="AB24" i="35"/>
  <c r="AB32" i="35"/>
  <c r="AB12" i="35"/>
  <c r="AB19" i="35"/>
  <c r="AB28" i="35"/>
  <c r="AB35" i="35"/>
  <c r="AB21" i="35"/>
  <c r="AB29" i="35"/>
  <c r="AB30" i="35"/>
  <c r="AB10" i="35"/>
  <c r="AB17" i="35"/>
  <c r="AB18" i="35"/>
  <c r="AB42" i="35"/>
  <c r="AB37" i="35"/>
  <c r="AB39" i="35"/>
  <c r="AB22" i="35"/>
  <c r="AB43" i="35"/>
  <c r="AB44" i="35"/>
  <c r="AB41" i="35"/>
  <c r="AB34" i="35"/>
  <c r="AB16" i="35"/>
  <c r="AB20" i="35"/>
  <c r="AB23" i="35"/>
  <c r="AB27" i="35"/>
  <c r="AB25" i="35"/>
  <c r="AB13" i="35"/>
  <c r="AM19" i="35"/>
  <c r="AM22" i="35"/>
  <c r="AM11" i="35"/>
  <c r="AM13" i="35"/>
  <c r="AM29" i="35"/>
  <c r="AM28" i="35"/>
  <c r="AM9" i="35"/>
  <c r="AB33" i="35"/>
  <c r="AB9" i="35"/>
  <c r="E30" i="12"/>
  <c r="E22" i="12"/>
  <c r="E24" i="12"/>
  <c r="E27" i="12"/>
  <c r="E25" i="12"/>
  <c r="E26" i="12"/>
  <c r="E20" i="12"/>
  <c r="E28" i="12"/>
  <c r="E29" i="12"/>
  <c r="E23" i="12"/>
  <c r="E21" i="12"/>
  <c r="D23" i="11"/>
  <c r="C29" i="11"/>
  <c r="C17" i="11"/>
  <c r="J21" i="1"/>
  <c r="G21" i="1"/>
  <c r="F21" i="1" s="1"/>
  <c r="D21" i="1"/>
  <c r="D21" i="11"/>
  <c r="M21" i="1" s="1"/>
  <c r="L21" i="1" s="1"/>
  <c r="D35" i="11"/>
  <c r="AF12" i="32"/>
  <c r="AF8" i="32"/>
  <c r="AF45" i="32"/>
  <c r="AF26" i="32"/>
  <c r="AF42" i="32"/>
  <c r="AF17" i="32"/>
  <c r="AF5" i="32"/>
  <c r="AM6" i="35"/>
  <c r="M40" i="10"/>
  <c r="M48" i="10"/>
  <c r="J40" i="10"/>
  <c r="G39" i="10"/>
  <c r="G47" i="10"/>
  <c r="G42" i="10"/>
  <c r="J16" i="10"/>
  <c r="D22" i="10"/>
  <c r="D17" i="10"/>
  <c r="G22" i="10"/>
  <c r="M23" i="10"/>
  <c r="AF24" i="32"/>
  <c r="J39" i="10"/>
  <c r="M15" i="10"/>
  <c r="AF32" i="32"/>
  <c r="AF29" i="32"/>
  <c r="AF39" i="32"/>
  <c r="AF16" i="32"/>
  <c r="AF40" i="32"/>
  <c r="AF4" i="32"/>
  <c r="AB6" i="35"/>
  <c r="M45" i="10"/>
  <c r="D46" i="10"/>
  <c r="J48" i="10"/>
  <c r="D45" i="10"/>
  <c r="G40" i="10"/>
  <c r="D38" i="10"/>
  <c r="G23" i="10"/>
  <c r="M17" i="10"/>
  <c r="J23" i="10"/>
  <c r="J14" i="10"/>
  <c r="M21" i="10"/>
  <c r="D14" i="10"/>
  <c r="D15" i="10"/>
  <c r="AM7" i="35"/>
  <c r="M41" i="10"/>
  <c r="J15" i="10"/>
  <c r="AF25" i="32"/>
  <c r="AF43" i="32"/>
  <c r="AF36" i="32"/>
  <c r="AF11" i="32"/>
  <c r="AF33" i="32"/>
  <c r="AM5" i="35"/>
  <c r="M46" i="10"/>
  <c r="G43" i="10"/>
  <c r="D41" i="10"/>
  <c r="J44" i="10"/>
  <c r="J42" i="10"/>
  <c r="D48" i="10"/>
  <c r="M14" i="10"/>
  <c r="D19" i="10"/>
  <c r="G14" i="10"/>
  <c r="J13" i="10"/>
  <c r="M20" i="10"/>
  <c r="J18" i="10"/>
  <c r="M16" i="10"/>
  <c r="G46" i="10"/>
  <c r="G18" i="10"/>
  <c r="AF21" i="32"/>
  <c r="AF9" i="32"/>
  <c r="AF20" i="32"/>
  <c r="AF18" i="32"/>
  <c r="AF27" i="32"/>
  <c r="AB5" i="35"/>
  <c r="P8" i="8"/>
  <c r="M44" i="10"/>
  <c r="J47" i="10"/>
  <c r="D39" i="10"/>
  <c r="G38" i="10"/>
  <c r="J38" i="10"/>
  <c r="G13" i="10"/>
  <c r="D21" i="10"/>
  <c r="J19" i="10"/>
  <c r="AF34" i="32"/>
  <c r="AF13" i="32"/>
  <c r="AF7" i="32"/>
  <c r="AF10" i="32"/>
  <c r="AF15" i="32"/>
  <c r="AB8" i="35"/>
  <c r="AM4" i="35"/>
  <c r="AB4" i="35"/>
  <c r="M47" i="10"/>
  <c r="J43" i="10"/>
  <c r="D42" i="10"/>
  <c r="J46" i="10"/>
  <c r="G45" i="10"/>
  <c r="M13" i="10"/>
  <c r="D16" i="10"/>
  <c r="M18" i="10"/>
  <c r="G20" i="10"/>
  <c r="G16" i="10"/>
  <c r="J22" i="10"/>
  <c r="D20" i="10"/>
  <c r="G15" i="10"/>
  <c r="AF38" i="32"/>
  <c r="J41" i="10"/>
  <c r="J17" i="10"/>
  <c r="AF28" i="32"/>
  <c r="AF22" i="32"/>
  <c r="AF14" i="32"/>
  <c r="AF6" i="32"/>
  <c r="AF44" i="32"/>
  <c r="AM8" i="35"/>
  <c r="C25" i="8"/>
  <c r="M42" i="10"/>
  <c r="G48" i="10"/>
  <c r="G41" i="10"/>
  <c r="D47" i="10"/>
  <c r="D44" i="10"/>
  <c r="D13" i="10"/>
  <c r="J20" i="10"/>
  <c r="G19" i="10"/>
  <c r="D23" i="10"/>
  <c r="G21" i="10"/>
  <c r="M22" i="10"/>
  <c r="M19" i="10"/>
  <c r="G17" i="10"/>
  <c r="AF41" i="32"/>
  <c r="AF30" i="32"/>
  <c r="M38" i="10"/>
  <c r="D18" i="10"/>
  <c r="AF37" i="32"/>
  <c r="AF31" i="32"/>
  <c r="AF35" i="32"/>
  <c r="AF19" i="32"/>
  <c r="AB7" i="35"/>
  <c r="D25" i="8"/>
  <c r="M39" i="10"/>
  <c r="D43" i="10"/>
  <c r="J45" i="10"/>
  <c r="D40" i="10"/>
  <c r="G44" i="10"/>
  <c r="G51" i="10"/>
  <c r="J21" i="10"/>
  <c r="AF23" i="32"/>
  <c r="M43" i="10"/>
  <c r="D54" i="10"/>
  <c r="AC8" i="35"/>
  <c r="AC11" i="35"/>
  <c r="AC10" i="35"/>
  <c r="AC5" i="35"/>
  <c r="AC12" i="35"/>
  <c r="AC4" i="35"/>
  <c r="AD4" i="35" s="1"/>
  <c r="AC9" i="35"/>
  <c r="AC6" i="35"/>
  <c r="AC14" i="35"/>
  <c r="AC15" i="35"/>
  <c r="AC7" i="35"/>
  <c r="AC13" i="35"/>
  <c r="AE4" i="35"/>
  <c r="AD5" i="35"/>
  <c r="AE5" i="35"/>
  <c r="AD6" i="35"/>
  <c r="AE6" i="35"/>
  <c r="AD7" i="35"/>
  <c r="AD14" i="35"/>
  <c r="AD44" i="35"/>
  <c r="AD28" i="35"/>
  <c r="AE41" i="35"/>
  <c r="AD19" i="35"/>
  <c r="AD36" i="35"/>
  <c r="AD38" i="35"/>
  <c r="AD43" i="35"/>
  <c r="AE42" i="35"/>
  <c r="AE35" i="35"/>
  <c r="AD22" i="35"/>
  <c r="AE8" i="35"/>
  <c r="AD15" i="35"/>
  <c r="AE21" i="35"/>
  <c r="AE15" i="35"/>
  <c r="AD37" i="35"/>
  <c r="AD26" i="35"/>
  <c r="AD39" i="35"/>
  <c r="AE9" i="35"/>
  <c r="AE26" i="35"/>
  <c r="AD10" i="35"/>
  <c r="AD12" i="35"/>
  <c r="AD16" i="35"/>
  <c r="AE43" i="35"/>
  <c r="AE20" i="35"/>
  <c r="AE45" i="35"/>
  <c r="AE33" i="35"/>
  <c r="AE40" i="35"/>
  <c r="AE18" i="35"/>
  <c r="AE22" i="35"/>
  <c r="AE7" i="35"/>
  <c r="AD8" i="35"/>
  <c r="AE10" i="35"/>
  <c r="AD13" i="35"/>
  <c r="AE17" i="35"/>
  <c r="AD21" i="35"/>
  <c r="AE16" i="35"/>
  <c r="AD30" i="35"/>
  <c r="AE29" i="35"/>
  <c r="AE37" i="35"/>
  <c r="AD20" i="35"/>
  <c r="AD45" i="35"/>
  <c r="AD17" i="35"/>
  <c r="AD9" i="35"/>
  <c r="AE13" i="35"/>
  <c r="AD41" i="35"/>
  <c r="AE38" i="35"/>
  <c r="AE19" i="35"/>
  <c r="AD18" i="35"/>
  <c r="AD40" i="35"/>
  <c r="AD24" i="35"/>
  <c r="AD35" i="35"/>
  <c r="AD11" i="35"/>
  <c r="AE12" i="35"/>
  <c r="AE44" i="35"/>
  <c r="AE25" i="35"/>
  <c r="AE31" i="35"/>
  <c r="AD25" i="35"/>
  <c r="AE24" i="35"/>
  <c r="AD42" i="35"/>
  <c r="AD33" i="35"/>
  <c r="AE23" i="35"/>
  <c r="AE27" i="35"/>
  <c r="AE32" i="35"/>
  <c r="AD27" i="35"/>
  <c r="AE11" i="35"/>
  <c r="AD31" i="35"/>
  <c r="AD23" i="35"/>
  <c r="AE36" i="35"/>
  <c r="AD34" i="35"/>
  <c r="AE28" i="35"/>
  <c r="AE30" i="35"/>
  <c r="AE14" i="35"/>
  <c r="AD29" i="35"/>
  <c r="AD32" i="35"/>
  <c r="AE34" i="35"/>
  <c r="AE39" i="35"/>
  <c r="E12" i="12" l="1"/>
  <c r="E8" i="12"/>
  <c r="E10" i="12"/>
  <c r="E16" i="12"/>
  <c r="E44" i="12" s="1"/>
  <c r="E6" i="12"/>
  <c r="E13" i="12"/>
  <c r="E9" i="12"/>
  <c r="E7" i="12"/>
  <c r="E11" i="12"/>
  <c r="E14" i="12"/>
  <c r="E15" i="12"/>
  <c r="U55" i="38"/>
  <c r="C167" i="12"/>
  <c r="C181" i="12" s="1"/>
  <c r="L44" i="38"/>
  <c r="C56" i="38"/>
  <c r="C54" i="12"/>
  <c r="C22" i="12"/>
  <c r="C24" i="38"/>
  <c r="L57" i="38"/>
  <c r="C27" i="38"/>
  <c r="C25" i="12"/>
  <c r="U51" i="38"/>
  <c r="C13" i="38"/>
  <c r="C71" i="38" s="1"/>
  <c r="C11" i="12"/>
  <c r="C74" i="12" s="1"/>
  <c r="I74" i="12" s="1"/>
  <c r="L74" i="12" s="1"/>
  <c r="U50" i="38"/>
  <c r="C40" i="38"/>
  <c r="C81" i="38" s="1"/>
  <c r="C38" i="12"/>
  <c r="C84" i="12" s="1"/>
  <c r="I84" i="12" s="1"/>
  <c r="L84" i="12" s="1"/>
  <c r="U42" i="38"/>
  <c r="U45" i="38"/>
  <c r="C42" i="12"/>
  <c r="C88" i="12" s="1"/>
  <c r="C44" i="38"/>
  <c r="C18" i="38"/>
  <c r="C16" i="12"/>
  <c r="C40" i="12"/>
  <c r="C86" i="12" s="1"/>
  <c r="I86" i="12" s="1"/>
  <c r="L86" i="12" s="1"/>
  <c r="C42" i="38"/>
  <c r="C83" i="38" s="1"/>
  <c r="C166" i="12"/>
  <c r="C180" i="12" s="1"/>
  <c r="L43" i="38"/>
  <c r="C6" i="12"/>
  <c r="C69" i="12" s="1"/>
  <c r="I69" i="12" s="1"/>
  <c r="L69" i="12" s="1"/>
  <c r="C8" i="38"/>
  <c r="C66" i="38" s="1"/>
  <c r="C28" i="38"/>
  <c r="C26" i="12"/>
  <c r="C31" i="38"/>
  <c r="I31" i="38" s="1"/>
  <c r="C29" i="12"/>
  <c r="L29" i="12" s="1"/>
  <c r="C53" i="38"/>
  <c r="C51" i="12"/>
  <c r="C60" i="38"/>
  <c r="C58" i="12"/>
  <c r="U54" i="38"/>
  <c r="C163" i="12"/>
  <c r="C177" i="12" s="1"/>
  <c r="L40" i="38"/>
  <c r="L53" i="38"/>
  <c r="C36" i="12"/>
  <c r="C82" i="12" s="1"/>
  <c r="I82" i="12" s="1"/>
  <c r="L82" i="12" s="1"/>
  <c r="C38" i="38"/>
  <c r="C79" i="38" s="1"/>
  <c r="C15" i="38"/>
  <c r="C73" i="38" s="1"/>
  <c r="C13" i="12"/>
  <c r="C76" i="12" s="1"/>
  <c r="I76" i="12" s="1"/>
  <c r="L76" i="12" s="1"/>
  <c r="L45" i="38"/>
  <c r="C168" i="12"/>
  <c r="C182" i="12" s="1"/>
  <c r="C37" i="12"/>
  <c r="C83" i="12" s="1"/>
  <c r="I83" i="12" s="1"/>
  <c r="L83" i="12" s="1"/>
  <c r="C39" i="38"/>
  <c r="C80" i="38" s="1"/>
  <c r="C41" i="12"/>
  <c r="C87" i="12" s="1"/>
  <c r="I87" i="12" s="1"/>
  <c r="L87" i="12" s="1"/>
  <c r="C43" i="38"/>
  <c r="C84" i="38" s="1"/>
  <c r="U41" i="38"/>
  <c r="C9" i="12"/>
  <c r="C72" i="12" s="1"/>
  <c r="I72" i="12" s="1"/>
  <c r="L72" i="12" s="1"/>
  <c r="C11" i="38"/>
  <c r="C69" i="38" s="1"/>
  <c r="U36" i="38"/>
  <c r="C55" i="12"/>
  <c r="C57" i="38"/>
  <c r="L58" i="38"/>
  <c r="C26" i="38"/>
  <c r="C24" i="12"/>
  <c r="L55" i="38"/>
  <c r="U59" i="38"/>
  <c r="C165" i="12"/>
  <c r="C179" i="12" s="1"/>
  <c r="L42" i="38"/>
  <c r="C16" i="38"/>
  <c r="C14" i="12"/>
  <c r="C77" i="12" s="1"/>
  <c r="C36" i="38"/>
  <c r="C77" i="38" s="1"/>
  <c r="C34" i="12"/>
  <c r="C80" i="12" s="1"/>
  <c r="I80" i="12" s="1"/>
  <c r="L80" i="12" s="1"/>
  <c r="L50" i="38"/>
  <c r="C48" i="12"/>
  <c r="C50" i="38"/>
  <c r="C21" i="12"/>
  <c r="C23" i="38"/>
  <c r="L59" i="38"/>
  <c r="U56" i="38"/>
  <c r="C41" i="38"/>
  <c r="C82" i="38" s="1"/>
  <c r="C39" i="12"/>
  <c r="C85" i="12" s="1"/>
  <c r="I85" i="12" s="1"/>
  <c r="L85" i="12" s="1"/>
  <c r="C56" i="12"/>
  <c r="C58" i="38"/>
  <c r="U39" i="38"/>
  <c r="L41" i="38"/>
  <c r="C164" i="12"/>
  <c r="C178" i="12" s="1"/>
  <c r="U43" i="38"/>
  <c r="L36" i="38"/>
  <c r="C159" i="12"/>
  <c r="C173" i="12" s="1"/>
  <c r="C37" i="38"/>
  <c r="C78" i="38" s="1"/>
  <c r="C35" i="12"/>
  <c r="C81" i="12" s="1"/>
  <c r="I81" i="12" s="1"/>
  <c r="L81" i="12" s="1"/>
  <c r="C12" i="12"/>
  <c r="C75" i="12" s="1"/>
  <c r="I75" i="12" s="1"/>
  <c r="L75" i="12" s="1"/>
  <c r="C14" i="38"/>
  <c r="C72" i="38" s="1"/>
  <c r="U37" i="38"/>
  <c r="C32" i="38"/>
  <c r="I32" i="38" s="1"/>
  <c r="C30" i="12"/>
  <c r="L30" i="12" s="1"/>
  <c r="L54" i="38"/>
  <c r="L56" i="38"/>
  <c r="C23" i="12"/>
  <c r="C25" i="38"/>
  <c r="C55" i="38"/>
  <c r="C53" i="12"/>
  <c r="U58" i="38"/>
  <c r="L38" i="38"/>
  <c r="C161" i="12"/>
  <c r="C175" i="12" s="1"/>
  <c r="U53" i="38"/>
  <c r="C8" i="12"/>
  <c r="C71" i="12" s="1"/>
  <c r="I71" i="12" s="1"/>
  <c r="L71" i="12" s="1"/>
  <c r="C10" i="38"/>
  <c r="C68" i="38" s="1"/>
  <c r="C7" i="12"/>
  <c r="C70" i="12" s="1"/>
  <c r="I70" i="12" s="1"/>
  <c r="L70" i="12" s="1"/>
  <c r="C9" i="38"/>
  <c r="C67" i="38" s="1"/>
  <c r="U44" i="38"/>
  <c r="C160" i="12"/>
  <c r="C174" i="12" s="1"/>
  <c r="L37" i="38"/>
  <c r="L46" i="38"/>
  <c r="C169" i="12"/>
  <c r="U40" i="38"/>
  <c r="C46" i="38"/>
  <c r="C44" i="12"/>
  <c r="C20" i="12"/>
  <c r="C22" i="38"/>
  <c r="C50" i="12"/>
  <c r="C52" i="38"/>
  <c r="C27" i="12"/>
  <c r="C29" i="38"/>
  <c r="L60" i="38"/>
  <c r="C30" i="38"/>
  <c r="C28" i="12"/>
  <c r="U57" i="38"/>
  <c r="U38" i="38"/>
  <c r="L51" i="38"/>
  <c r="U46" i="38"/>
  <c r="C43" i="12"/>
  <c r="C89" i="12" s="1"/>
  <c r="C45" i="38"/>
  <c r="C10" i="12"/>
  <c r="C73" i="12" s="1"/>
  <c r="I73" i="12" s="1"/>
  <c r="L73" i="12" s="1"/>
  <c r="C12" i="38"/>
  <c r="C70" i="38" s="1"/>
  <c r="C17" i="38"/>
  <c r="C15" i="12"/>
  <c r="L39" i="38"/>
  <c r="C162" i="12"/>
  <c r="C176" i="12" s="1"/>
  <c r="C54" i="38"/>
  <c r="C52" i="12"/>
  <c r="C57" i="12"/>
  <c r="C59" i="38"/>
  <c r="C51" i="38"/>
  <c r="C49" i="12"/>
  <c r="L52" i="38"/>
  <c r="U60" i="38"/>
  <c r="U52" i="38"/>
  <c r="E51" i="12"/>
  <c r="E176" i="12"/>
  <c r="E50" i="12"/>
  <c r="E175" i="12"/>
  <c r="L30" i="1"/>
  <c r="M30" i="1"/>
  <c r="J30" i="1"/>
  <c r="E57" i="12"/>
  <c r="E182" i="12"/>
  <c r="E58" i="12"/>
  <c r="E183" i="12"/>
  <c r="E174" i="12"/>
  <c r="E49" i="12"/>
  <c r="E56" i="12"/>
  <c r="E181" i="12"/>
  <c r="E173" i="12"/>
  <c r="E48" i="12"/>
  <c r="E177" i="12"/>
  <c r="E52" i="12"/>
  <c r="E179" i="12"/>
  <c r="E54" i="12"/>
  <c r="E53" i="12"/>
  <c r="E178" i="12"/>
  <c r="E180" i="12"/>
  <c r="E55" i="12"/>
  <c r="AF39" i="35"/>
  <c r="AF27" i="35"/>
  <c r="AF38" i="35"/>
  <c r="AF22" i="35"/>
  <c r="AF9" i="35"/>
  <c r="AF5" i="35"/>
  <c r="AF34" i="35"/>
  <c r="AF23" i="35"/>
  <c r="AF13" i="35"/>
  <c r="AF18" i="35"/>
  <c r="AF15" i="35"/>
  <c r="AF4" i="35"/>
  <c r="AG4" i="32"/>
  <c r="AF14" i="35"/>
  <c r="AF24" i="35"/>
  <c r="AF37" i="35"/>
  <c r="AF40" i="35"/>
  <c r="AF21" i="35"/>
  <c r="AF30" i="35"/>
  <c r="AF31" i="35"/>
  <c r="AF29" i="35"/>
  <c r="AF33" i="35"/>
  <c r="AF8" i="35"/>
  <c r="AF19" i="35"/>
  <c r="AF6" i="35"/>
  <c r="K25" i="8"/>
  <c r="AF28" i="35"/>
  <c r="AF25" i="35"/>
  <c r="AF16" i="35"/>
  <c r="AF45" i="35"/>
  <c r="AF35" i="35"/>
  <c r="AF26" i="35"/>
  <c r="J25" i="8"/>
  <c r="AF36" i="35"/>
  <c r="AF44" i="35"/>
  <c r="AF17" i="35"/>
  <c r="AF20" i="35"/>
  <c r="AF42" i="35"/>
  <c r="AF32" i="35"/>
  <c r="AF11" i="35"/>
  <c r="AF12" i="35"/>
  <c r="AF10" i="35"/>
  <c r="AF43" i="35"/>
  <c r="AF41" i="35"/>
  <c r="AF7" i="35"/>
  <c r="AG5" i="32"/>
  <c r="AG6" i="32"/>
  <c r="AG7" i="32"/>
  <c r="AG40" i="32"/>
  <c r="AG27" i="32"/>
  <c r="AG25" i="32"/>
  <c r="AG23" i="32"/>
  <c r="AG9" i="32"/>
  <c r="AG31" i="32"/>
  <c r="AG44" i="32"/>
  <c r="AG37" i="32"/>
  <c r="AG34" i="32"/>
  <c r="AG18" i="32"/>
  <c r="AG14" i="32"/>
  <c r="AG33" i="32"/>
  <c r="AG16" i="32"/>
  <c r="AG22" i="32"/>
  <c r="AG21" i="32"/>
  <c r="AG10" i="32"/>
  <c r="AG11" i="32"/>
  <c r="AG30" i="32"/>
  <c r="AG29" i="32"/>
  <c r="AG35" i="32"/>
  <c r="AG36" i="32"/>
  <c r="AG12" i="32"/>
  <c r="AG42" i="32"/>
  <c r="AG24" i="32"/>
  <c r="AG15" i="32"/>
  <c r="AG41" i="32"/>
  <c r="AG28" i="32"/>
  <c r="AG43" i="32"/>
  <c r="AG38" i="32"/>
  <c r="AG20" i="32"/>
  <c r="AG26" i="32"/>
  <c r="AG45" i="32"/>
  <c r="AG8" i="32"/>
  <c r="AG19" i="32"/>
  <c r="AG32" i="32"/>
  <c r="AG39" i="32"/>
  <c r="AG13" i="32"/>
  <c r="AG17" i="32"/>
  <c r="AH17" i="32" l="1"/>
  <c r="I19" i="21" s="1"/>
  <c r="AH13" i="32"/>
  <c r="I15" i="21" s="1"/>
  <c r="AH39" i="32"/>
  <c r="I41" i="21" s="1"/>
  <c r="AH32" i="32"/>
  <c r="I34" i="21" s="1"/>
  <c r="AH19" i="32"/>
  <c r="I21" i="21" s="1"/>
  <c r="AH8" i="32"/>
  <c r="I10" i="21" s="1"/>
  <c r="AH45" i="32"/>
  <c r="AH26" i="32"/>
  <c r="I28" i="21" s="1"/>
  <c r="AH20" i="32"/>
  <c r="I22" i="21" s="1"/>
  <c r="AH38" i="32"/>
  <c r="I40" i="21" s="1"/>
  <c r="AH43" i="32"/>
  <c r="I45" i="21" s="1"/>
  <c r="AH28" i="32"/>
  <c r="I30" i="21" s="1"/>
  <c r="AH41" i="32"/>
  <c r="I43" i="21" s="1"/>
  <c r="AH15" i="32"/>
  <c r="I17" i="21" s="1"/>
  <c r="AH24" i="32"/>
  <c r="I26" i="21" s="1"/>
  <c r="AH42" i="32"/>
  <c r="I44" i="21" s="1"/>
  <c r="AH12" i="32"/>
  <c r="I14" i="21" s="1"/>
  <c r="AH36" i="32"/>
  <c r="I38" i="21" s="1"/>
  <c r="AH35" i="32"/>
  <c r="I37" i="21" s="1"/>
  <c r="AH29" i="32"/>
  <c r="I31" i="21" s="1"/>
  <c r="AH30" i="32"/>
  <c r="I32" i="21" s="1"/>
  <c r="AH11" i="32"/>
  <c r="I13" i="21" s="1"/>
  <c r="AH10" i="32"/>
  <c r="I12" i="21" s="1"/>
  <c r="AH21" i="32"/>
  <c r="I23" i="21" s="1"/>
  <c r="AH22" i="32"/>
  <c r="I24" i="21" s="1"/>
  <c r="AH16" i="32"/>
  <c r="I18" i="21" s="1"/>
  <c r="AH33" i="32"/>
  <c r="I35" i="21" s="1"/>
  <c r="AH14" i="32"/>
  <c r="I16" i="21" s="1"/>
  <c r="AH18" i="32"/>
  <c r="I20" i="21" s="1"/>
  <c r="AH34" i="32"/>
  <c r="I36" i="21" s="1"/>
  <c r="AH37" i="32"/>
  <c r="I39" i="21" s="1"/>
  <c r="AH44" i="32"/>
  <c r="AH31" i="32"/>
  <c r="I33" i="21" s="1"/>
  <c r="AH9" i="32"/>
  <c r="I11" i="21" s="1"/>
  <c r="AH23" i="32"/>
  <c r="I25" i="21" s="1"/>
  <c r="AH25" i="32"/>
  <c r="I27" i="21" s="1"/>
  <c r="AH27" i="32"/>
  <c r="I29" i="21" s="1"/>
  <c r="AH40" i="32"/>
  <c r="I42" i="21" s="1"/>
  <c r="AH7" i="32"/>
  <c r="I9" i="21" s="1"/>
  <c r="C75" i="38"/>
  <c r="I17" i="38"/>
  <c r="C107" i="38"/>
  <c r="H107" i="38"/>
  <c r="H106" i="38"/>
  <c r="C106" i="38"/>
  <c r="K44" i="12"/>
  <c r="L44" i="12"/>
  <c r="C90" i="12"/>
  <c r="H100" i="38"/>
  <c r="C100" i="38"/>
  <c r="E166" i="12"/>
  <c r="E41" i="12"/>
  <c r="I89" i="12"/>
  <c r="L89" i="12" s="1"/>
  <c r="D89" i="12"/>
  <c r="R60" i="38"/>
  <c r="Q60" i="38"/>
  <c r="C87" i="38"/>
  <c r="H46" i="38"/>
  <c r="I46" i="38"/>
  <c r="H72" i="38"/>
  <c r="J9" i="13"/>
  <c r="I55" i="13"/>
  <c r="J31" i="13"/>
  <c r="C93" i="38"/>
  <c r="H93" i="38"/>
  <c r="J33" i="13"/>
  <c r="M3" i="13"/>
  <c r="N13" i="13" s="1"/>
  <c r="H77" i="38"/>
  <c r="K49" i="13"/>
  <c r="K56" i="13"/>
  <c r="H84" i="38"/>
  <c r="M10" i="13"/>
  <c r="N6" i="13" s="1"/>
  <c r="J40" i="13"/>
  <c r="K51" i="13"/>
  <c r="M5" i="13"/>
  <c r="N11" i="13" s="1"/>
  <c r="H79" i="38"/>
  <c r="J35" i="13"/>
  <c r="C95" i="38"/>
  <c r="H95" i="38"/>
  <c r="H108" i="38"/>
  <c r="C58" i="37" s="1"/>
  <c r="C108" i="38"/>
  <c r="E159" i="12"/>
  <c r="E34" i="12"/>
  <c r="H104" i="38"/>
  <c r="C104" i="38"/>
  <c r="H60" i="38"/>
  <c r="I60" i="38"/>
  <c r="H96" i="38"/>
  <c r="C96" i="38"/>
  <c r="Z60" i="38"/>
  <c r="Y60" i="38"/>
  <c r="C109" i="38"/>
  <c r="O59" i="13" s="1"/>
  <c r="O79" i="13" s="1"/>
  <c r="H109" i="38"/>
  <c r="J109" i="38" s="1"/>
  <c r="Z46" i="38"/>
  <c r="Y46" i="38"/>
  <c r="H103" i="38"/>
  <c r="C103" i="38"/>
  <c r="J27" i="13"/>
  <c r="H68" i="38"/>
  <c r="J5" i="13"/>
  <c r="I51" i="13"/>
  <c r="C102" i="38"/>
  <c r="H102" i="38"/>
  <c r="I77" i="12"/>
  <c r="L77" i="12" s="1"/>
  <c r="D77" i="12"/>
  <c r="H105" i="38"/>
  <c r="C105" i="38"/>
  <c r="C86" i="38"/>
  <c r="I45" i="38"/>
  <c r="J32" i="13"/>
  <c r="J10" i="13"/>
  <c r="H73" i="38"/>
  <c r="I56" i="13"/>
  <c r="H91" i="38"/>
  <c r="C91" i="38"/>
  <c r="L169" i="12"/>
  <c r="J169" i="12"/>
  <c r="E169" i="12"/>
  <c r="G169" i="12"/>
  <c r="C183" i="12"/>
  <c r="L183" i="12" s="1"/>
  <c r="I169" i="12"/>
  <c r="F169" i="12"/>
  <c r="K169" i="12"/>
  <c r="D169" i="12"/>
  <c r="C74" i="38"/>
  <c r="I16" i="38"/>
  <c r="M6" i="13"/>
  <c r="N10" i="13" s="1"/>
  <c r="H80" i="38"/>
  <c r="K52" i="13"/>
  <c r="J36" i="13"/>
  <c r="J39" i="13"/>
  <c r="K55" i="13"/>
  <c r="H83" i="38"/>
  <c r="M9" i="13"/>
  <c r="N7" i="13" s="1"/>
  <c r="E168" i="12"/>
  <c r="E43" i="12"/>
  <c r="E163" i="12"/>
  <c r="E38" i="12"/>
  <c r="H67" i="38"/>
  <c r="J4" i="13"/>
  <c r="J26" i="13"/>
  <c r="I50" i="13"/>
  <c r="I88" i="12"/>
  <c r="L88" i="12" s="1"/>
  <c r="D88" i="12"/>
  <c r="E88" i="12"/>
  <c r="C78" i="12"/>
  <c r="L15" i="12"/>
  <c r="C101" i="38"/>
  <c r="H101" i="38"/>
  <c r="R46" i="38"/>
  <c r="H98" i="38"/>
  <c r="C98" i="38"/>
  <c r="Q46" i="38"/>
  <c r="K50" i="13"/>
  <c r="J34" i="13"/>
  <c r="M4" i="13"/>
  <c r="N12" i="13" s="1"/>
  <c r="H78" i="38"/>
  <c r="H94" i="38"/>
  <c r="C94" i="38"/>
  <c r="H92" i="38"/>
  <c r="C92" i="38"/>
  <c r="J37" i="13"/>
  <c r="M7" i="13"/>
  <c r="N9" i="13" s="1"/>
  <c r="K53" i="13"/>
  <c r="H81" i="38"/>
  <c r="E167" i="12"/>
  <c r="E42" i="12"/>
  <c r="E161" i="12"/>
  <c r="E36" i="12"/>
  <c r="E164" i="12"/>
  <c r="E39" i="12"/>
  <c r="E165" i="12"/>
  <c r="E40" i="12"/>
  <c r="C89" i="38"/>
  <c r="H89" i="38"/>
  <c r="H99" i="38"/>
  <c r="C99" i="38"/>
  <c r="L16" i="12"/>
  <c r="C79" i="12"/>
  <c r="I53" i="13"/>
  <c r="J29" i="13"/>
  <c r="H70" i="38"/>
  <c r="J7" i="13"/>
  <c r="C90" i="38"/>
  <c r="H90" i="38"/>
  <c r="H88" i="38"/>
  <c r="C88" i="38"/>
  <c r="K54" i="13"/>
  <c r="H82" i="38"/>
  <c r="M8" i="13"/>
  <c r="N8" i="13" s="1"/>
  <c r="J38" i="13"/>
  <c r="I52" i="13"/>
  <c r="J28" i="13"/>
  <c r="H69" i="38"/>
  <c r="J6" i="13"/>
  <c r="C97" i="38"/>
  <c r="H97" i="38"/>
  <c r="C76" i="38"/>
  <c r="I18" i="38"/>
  <c r="E35" i="12"/>
  <c r="E160" i="12"/>
  <c r="L58" i="12"/>
  <c r="K58" i="12"/>
  <c r="H66" i="38"/>
  <c r="J25" i="13"/>
  <c r="I49" i="13"/>
  <c r="J3" i="13"/>
  <c r="C85" i="38"/>
  <c r="I44" i="38"/>
  <c r="H71" i="38"/>
  <c r="J30" i="13"/>
  <c r="J8" i="13"/>
  <c r="I54" i="13"/>
  <c r="E162" i="12"/>
  <c r="E37" i="12"/>
  <c r="AH5" i="32"/>
  <c r="AH4" i="32"/>
  <c r="AG4" i="35"/>
  <c r="AH6" i="32"/>
  <c r="AG5" i="35"/>
  <c r="AG6" i="35"/>
  <c r="AG7" i="35"/>
  <c r="AG20" i="35"/>
  <c r="AG23" i="35"/>
  <c r="AG26" i="35"/>
  <c r="AG35" i="35"/>
  <c r="AG32" i="35"/>
  <c r="AG36" i="35"/>
  <c r="AG15" i="35"/>
  <c r="AG40" i="35"/>
  <c r="AG39" i="35"/>
  <c r="AG43" i="35"/>
  <c r="AG28" i="35"/>
  <c r="AG13" i="35"/>
  <c r="AG22" i="35"/>
  <c r="AG24" i="35"/>
  <c r="AG38" i="35"/>
  <c r="AG42" i="35"/>
  <c r="AG34" i="35"/>
  <c r="AG18" i="35"/>
  <c r="AG25" i="35"/>
  <c r="AG12" i="35"/>
  <c r="AG19" i="35"/>
  <c r="AG16" i="35"/>
  <c r="AG44" i="35"/>
  <c r="AG10" i="35"/>
  <c r="AG29" i="35"/>
  <c r="AG30" i="35"/>
  <c r="AG17" i="35"/>
  <c r="AG33" i="35"/>
  <c r="AG37" i="35"/>
  <c r="AG8" i="35"/>
  <c r="AG41" i="35"/>
  <c r="AG11" i="35"/>
  <c r="AG9" i="35"/>
  <c r="AG21" i="35"/>
  <c r="AG31" i="35"/>
  <c r="AG14" i="35"/>
  <c r="AG27" i="35"/>
  <c r="AG45" i="35"/>
  <c r="AH45" i="35" l="1"/>
  <c r="AH27" i="35"/>
  <c r="T29" i="21" s="1"/>
  <c r="AH14" i="35"/>
  <c r="T16" i="21" s="1"/>
  <c r="AH31" i="35"/>
  <c r="T33" i="21" s="1"/>
  <c r="AH21" i="35"/>
  <c r="T23" i="21" s="1"/>
  <c r="AH9" i="35"/>
  <c r="T11" i="21" s="1"/>
  <c r="AH11" i="35"/>
  <c r="T13" i="21" s="1"/>
  <c r="AH41" i="35"/>
  <c r="T43" i="21" s="1"/>
  <c r="AH8" i="35"/>
  <c r="T10" i="21" s="1"/>
  <c r="AH37" i="35"/>
  <c r="T39" i="21" s="1"/>
  <c r="AH33" i="35"/>
  <c r="T35" i="21" s="1"/>
  <c r="AH17" i="35"/>
  <c r="T19" i="21" s="1"/>
  <c r="AH30" i="35"/>
  <c r="T32" i="21" s="1"/>
  <c r="AH29" i="35"/>
  <c r="T31" i="21" s="1"/>
  <c r="AH10" i="35"/>
  <c r="T12" i="21" s="1"/>
  <c r="AH44" i="35"/>
  <c r="AH16" i="35"/>
  <c r="T18" i="21" s="1"/>
  <c r="AH19" i="35"/>
  <c r="T21" i="21" s="1"/>
  <c r="AH12" i="35"/>
  <c r="T14" i="21" s="1"/>
  <c r="AH25" i="35"/>
  <c r="T27" i="21" s="1"/>
  <c r="AH18" i="35"/>
  <c r="T20" i="21" s="1"/>
  <c r="AH34" i="35"/>
  <c r="T36" i="21" s="1"/>
  <c r="AH42" i="35"/>
  <c r="T44" i="21" s="1"/>
  <c r="AH38" i="35"/>
  <c r="T40" i="21" s="1"/>
  <c r="AH24" i="35"/>
  <c r="T26" i="21" s="1"/>
  <c r="AH22" i="35"/>
  <c r="T24" i="21" s="1"/>
  <c r="AH13" i="35"/>
  <c r="T15" i="21" s="1"/>
  <c r="AH28" i="35"/>
  <c r="T30" i="21" s="1"/>
  <c r="AH43" i="35"/>
  <c r="T45" i="21" s="1"/>
  <c r="AH39" i="35"/>
  <c r="T41" i="21" s="1"/>
  <c r="AH40" i="35"/>
  <c r="T42" i="21" s="1"/>
  <c r="AH15" i="35"/>
  <c r="T17" i="21" s="1"/>
  <c r="AH36" i="35"/>
  <c r="T38" i="21" s="1"/>
  <c r="AH32" i="35"/>
  <c r="T34" i="21" s="1"/>
  <c r="AH35" i="35"/>
  <c r="T37" i="21" s="1"/>
  <c r="AH26" i="35"/>
  <c r="T28" i="21" s="1"/>
  <c r="AH23" i="35"/>
  <c r="T25" i="21" s="1"/>
  <c r="AH20" i="35"/>
  <c r="T22" i="21" s="1"/>
  <c r="AH7" i="35"/>
  <c r="T9" i="21" s="1"/>
  <c r="I8" i="21"/>
  <c r="I6" i="21"/>
  <c r="I4" i="21" s="1"/>
  <c r="I7" i="21"/>
  <c r="E105" i="38"/>
  <c r="O55" i="13"/>
  <c r="K70" i="38"/>
  <c r="C17" i="37"/>
  <c r="C49" i="37"/>
  <c r="K99" i="38"/>
  <c r="C41" i="37"/>
  <c r="K92" i="38"/>
  <c r="E98" i="38"/>
  <c r="M59" i="13"/>
  <c r="D98" i="38"/>
  <c r="K72" i="13"/>
  <c r="F87" i="1"/>
  <c r="C40" i="37"/>
  <c r="K91" i="38"/>
  <c r="C55" i="37"/>
  <c r="O54" i="13"/>
  <c r="E104" i="38"/>
  <c r="O58" i="13"/>
  <c r="E108" i="38"/>
  <c r="K93" i="38"/>
  <c r="C42" i="37"/>
  <c r="M13" i="13"/>
  <c r="N3" i="13" s="1"/>
  <c r="D87" i="38"/>
  <c r="K59" i="13"/>
  <c r="H87" i="38"/>
  <c r="E87" i="38"/>
  <c r="C50" i="37"/>
  <c r="K100" i="38"/>
  <c r="E107" i="38"/>
  <c r="O57" i="13"/>
  <c r="I71" i="13"/>
  <c r="D86" i="1"/>
  <c r="E100" i="38"/>
  <c r="O50" i="13"/>
  <c r="C18" i="37"/>
  <c r="K71" i="38"/>
  <c r="K82" i="38"/>
  <c r="C30" i="37"/>
  <c r="C38" i="37"/>
  <c r="K89" i="38"/>
  <c r="J98" i="38"/>
  <c r="D47" i="37" s="1"/>
  <c r="E47" i="37" s="1"/>
  <c r="K98" i="38"/>
  <c r="C47" i="37"/>
  <c r="C28" i="37"/>
  <c r="K80" i="38"/>
  <c r="C54" i="37"/>
  <c r="M54" i="13"/>
  <c r="M58" i="13"/>
  <c r="F89" i="1"/>
  <c r="K74" i="13"/>
  <c r="D88" i="1"/>
  <c r="I73" i="13"/>
  <c r="M50" i="13"/>
  <c r="K94" i="38"/>
  <c r="C43" i="37"/>
  <c r="D85" i="1"/>
  <c r="I70" i="13"/>
  <c r="K73" i="38"/>
  <c r="C20" i="37"/>
  <c r="K95" i="38"/>
  <c r="C44" i="37"/>
  <c r="K84" i="38"/>
  <c r="C32" i="37"/>
  <c r="M51" i="13"/>
  <c r="M53" i="13"/>
  <c r="K71" i="13"/>
  <c r="F86" i="1"/>
  <c r="C57" i="37"/>
  <c r="C13" i="37"/>
  <c r="K66" i="38"/>
  <c r="K97" i="38"/>
  <c r="C46" i="37"/>
  <c r="M11" i="13"/>
  <c r="N5" i="13" s="1"/>
  <c r="H85" i="38"/>
  <c r="K57" i="13"/>
  <c r="E85" i="38"/>
  <c r="M49" i="13"/>
  <c r="K81" i="38"/>
  <c r="C29" i="37"/>
  <c r="K78" i="38"/>
  <c r="C26" i="37"/>
  <c r="K101" i="38"/>
  <c r="C51" i="37"/>
  <c r="O53" i="13"/>
  <c r="E103" i="38"/>
  <c r="M56" i="13"/>
  <c r="F91" i="1"/>
  <c r="K76" i="13"/>
  <c r="D90" i="1"/>
  <c r="I75" i="13"/>
  <c r="D75" i="38"/>
  <c r="I58" i="13"/>
  <c r="H75" i="38"/>
  <c r="E75" i="38"/>
  <c r="D89" i="1"/>
  <c r="I74" i="13"/>
  <c r="I72" i="13"/>
  <c r="D87" i="1"/>
  <c r="I69" i="13"/>
  <c r="D84" i="1"/>
  <c r="M55" i="13"/>
  <c r="D91" i="1"/>
  <c r="I76" i="13"/>
  <c r="K68" i="38"/>
  <c r="C15" i="37"/>
  <c r="K69" i="38"/>
  <c r="C16" i="37"/>
  <c r="I79" i="12"/>
  <c r="L79" i="12" s="1"/>
  <c r="E79" i="12"/>
  <c r="D79" i="12"/>
  <c r="F88" i="1"/>
  <c r="K73" i="13"/>
  <c r="O51" i="13"/>
  <c r="E101" i="38"/>
  <c r="C31" i="37"/>
  <c r="K83" i="38"/>
  <c r="I57" i="13"/>
  <c r="H74" i="38"/>
  <c r="D74" i="38"/>
  <c r="E74" i="38"/>
  <c r="C53" i="37"/>
  <c r="M57" i="13"/>
  <c r="K69" i="13"/>
  <c r="F84" i="1"/>
  <c r="O56" i="13"/>
  <c r="E106" i="38"/>
  <c r="H76" i="38"/>
  <c r="D76" i="38"/>
  <c r="E76" i="38"/>
  <c r="I59" i="13"/>
  <c r="O49" i="13"/>
  <c r="M52" i="13"/>
  <c r="D90" i="12"/>
  <c r="I90" i="12"/>
  <c r="E90" i="12"/>
  <c r="C37" i="37"/>
  <c r="K88" i="38"/>
  <c r="C39" i="37"/>
  <c r="K90" i="38"/>
  <c r="K67" i="38"/>
  <c r="C14" i="37"/>
  <c r="F90" i="1"/>
  <c r="K75" i="13"/>
  <c r="C52" i="37"/>
  <c r="K96" i="38"/>
  <c r="C45" i="37"/>
  <c r="K79" i="38"/>
  <c r="C27" i="37"/>
  <c r="K77" i="38"/>
  <c r="C25" i="37"/>
  <c r="C19" i="37"/>
  <c r="K72" i="38"/>
  <c r="C56" i="37"/>
  <c r="K70" i="13"/>
  <c r="F85" i="1"/>
  <c r="D78" i="12"/>
  <c r="I78" i="12"/>
  <c r="L78" i="12" s="1"/>
  <c r="E78" i="12"/>
  <c r="H86" i="38"/>
  <c r="M12" i="13"/>
  <c r="N4" i="13" s="1"/>
  <c r="K58" i="13"/>
  <c r="D86" i="38"/>
  <c r="E86" i="38"/>
  <c r="O52" i="13"/>
  <c r="E102" i="38"/>
  <c r="AH5" i="35"/>
  <c r="AH4" i="35"/>
  <c r="AH6" i="35"/>
  <c r="T8" i="21" l="1"/>
  <c r="T6" i="21"/>
  <c r="T4" i="21" s="1"/>
  <c r="T7" i="21"/>
  <c r="O71" i="13"/>
  <c r="K86" i="1"/>
  <c r="F92" i="1"/>
  <c r="K77" i="13"/>
  <c r="K78" i="13"/>
  <c r="F93" i="1"/>
  <c r="E1063" i="13"/>
  <c r="E492" i="13"/>
  <c r="E975" i="13"/>
  <c r="E1129" i="13"/>
  <c r="E14" i="13"/>
  <c r="E727" i="13"/>
  <c r="E302" i="13"/>
  <c r="E446" i="13"/>
  <c r="E1031" i="13"/>
  <c r="E1654" i="13"/>
  <c r="E871" i="13"/>
  <c r="E914" i="13"/>
  <c r="E506" i="13"/>
  <c r="E816" i="13"/>
  <c r="E1659" i="13"/>
  <c r="E1056" i="13"/>
  <c r="E1198" i="13"/>
  <c r="E1019" i="13"/>
  <c r="E1104" i="13"/>
  <c r="E293" i="13"/>
  <c r="E1635" i="13"/>
  <c r="E1139" i="13"/>
  <c r="E349" i="13"/>
  <c r="E1506" i="13"/>
  <c r="E49" i="13"/>
  <c r="E704" i="13"/>
  <c r="E13" i="13"/>
  <c r="E354" i="13"/>
  <c r="E227" i="13"/>
  <c r="E1282" i="13"/>
  <c r="E27" i="13"/>
  <c r="E170" i="13"/>
  <c r="E1382" i="13"/>
  <c r="E66" i="13"/>
  <c r="E695" i="13"/>
  <c r="E451" i="13"/>
  <c r="E919" i="13"/>
  <c r="E1619" i="13"/>
  <c r="E1228" i="13"/>
  <c r="E1618" i="13"/>
  <c r="E318" i="13"/>
  <c r="E829" i="13"/>
  <c r="E1655" i="13"/>
  <c r="E772" i="13"/>
  <c r="E943" i="13"/>
  <c r="E1117" i="13"/>
  <c r="E942" i="13"/>
  <c r="E1459" i="13"/>
  <c r="E1041" i="13"/>
  <c r="E1523" i="13"/>
  <c r="E1074" i="13"/>
  <c r="E1669" i="13"/>
  <c r="E1266" i="13"/>
  <c r="E1160" i="13"/>
  <c r="E635" i="13"/>
  <c r="E1731" i="13"/>
  <c r="E1617" i="13"/>
  <c r="E1035" i="13"/>
  <c r="E1558" i="13"/>
  <c r="E460" i="13"/>
  <c r="E994" i="13"/>
  <c r="E371" i="13"/>
  <c r="E1138" i="13"/>
  <c r="E863" i="13"/>
  <c r="E220" i="13"/>
  <c r="E1545" i="13"/>
  <c r="E1526" i="13"/>
  <c r="E722" i="13"/>
  <c r="E308" i="13"/>
  <c r="E1333" i="13"/>
  <c r="E344" i="13"/>
  <c r="E274" i="13"/>
  <c r="E613" i="13"/>
  <c r="E1149" i="13"/>
  <c r="E1143" i="13"/>
  <c r="E174" i="13"/>
  <c r="E1227" i="13"/>
  <c r="E1032" i="13"/>
  <c r="E1520" i="13"/>
  <c r="E144" i="13"/>
  <c r="E1147" i="13"/>
  <c r="E1077" i="13"/>
  <c r="E904" i="13"/>
  <c r="E189" i="13"/>
  <c r="E664" i="13"/>
  <c r="E353" i="13"/>
  <c r="E760" i="13"/>
  <c r="E778" i="13"/>
  <c r="E1555" i="13"/>
  <c r="E1128" i="13"/>
  <c r="E1478" i="13"/>
  <c r="E1351" i="13"/>
  <c r="E552" i="13"/>
  <c r="E1189" i="13"/>
  <c r="E238" i="13"/>
  <c r="E1326" i="13"/>
  <c r="E28" i="13"/>
  <c r="E898" i="13"/>
  <c r="E1530" i="13"/>
  <c r="E1388" i="13"/>
  <c r="E989" i="13"/>
  <c r="E585" i="13"/>
  <c r="E1286" i="13"/>
  <c r="E1142" i="13"/>
  <c r="E1202" i="13"/>
  <c r="E867" i="13"/>
  <c r="E1573" i="13"/>
  <c r="E866" i="13"/>
  <c r="E516" i="13"/>
  <c r="E1680" i="13"/>
  <c r="E1097" i="13"/>
  <c r="E1332" i="13"/>
  <c r="E798" i="13"/>
  <c r="E475" i="13"/>
  <c r="E1164" i="13"/>
  <c r="E587" i="13"/>
  <c r="E531" i="13"/>
  <c r="E831" i="13"/>
  <c r="E819" i="13"/>
  <c r="E324" i="13"/>
  <c r="E628" i="13"/>
  <c r="E615" i="13"/>
  <c r="E1687" i="13"/>
  <c r="E1306" i="13"/>
  <c r="E1583" i="13"/>
  <c r="E996" i="13"/>
  <c r="E208" i="13"/>
  <c r="E1287" i="13"/>
  <c r="E249" i="13"/>
  <c r="E113" i="13"/>
  <c r="E1090" i="13"/>
  <c r="E611" i="13"/>
  <c r="E902" i="13"/>
  <c r="E1447" i="13"/>
  <c r="E823" i="13"/>
  <c r="E643" i="13"/>
  <c r="E1289" i="13"/>
  <c r="E426" i="13"/>
  <c r="E63" i="13"/>
  <c r="E438" i="13"/>
  <c r="E1441" i="13"/>
  <c r="E1559" i="13"/>
  <c r="E633" i="13"/>
  <c r="E1311" i="13"/>
  <c r="E1688" i="13"/>
  <c r="E990" i="13"/>
  <c r="E175" i="13"/>
  <c r="E1601" i="13"/>
  <c r="E682" i="13"/>
  <c r="E1598" i="13"/>
  <c r="E240" i="13"/>
  <c r="E290" i="13"/>
  <c r="E548" i="13"/>
  <c r="E1301" i="13"/>
  <c r="E667" i="13"/>
  <c r="E830" i="13"/>
  <c r="E1615" i="13"/>
  <c r="E852" i="13"/>
  <c r="E629" i="13"/>
  <c r="E891" i="13"/>
  <c r="E1707" i="13"/>
  <c r="E1134" i="13"/>
  <c r="E267" i="13"/>
  <c r="E1231" i="13"/>
  <c r="E420" i="13"/>
  <c r="E1344" i="13"/>
  <c r="E287" i="13"/>
  <c r="E956" i="13"/>
  <c r="E821" i="13"/>
  <c r="E268" i="13"/>
  <c r="E1226" i="13"/>
  <c r="E389" i="13"/>
  <c r="E948" i="13"/>
  <c r="E1118" i="13"/>
  <c r="E1703" i="13"/>
  <c r="E364" i="13"/>
  <c r="E1482" i="13"/>
  <c r="E536" i="13"/>
  <c r="E1108" i="13"/>
  <c r="E723" i="13"/>
  <c r="E269" i="13"/>
  <c r="E1624" i="13"/>
  <c r="E275" i="13"/>
  <c r="E156" i="13"/>
  <c r="E248" i="13"/>
  <c r="E928" i="13"/>
  <c r="E1637" i="13"/>
  <c r="E1353" i="13"/>
  <c r="E399" i="13"/>
  <c r="E1457" i="13"/>
  <c r="E1392" i="13"/>
  <c r="E52" i="13"/>
  <c r="E477" i="13"/>
  <c r="E167" i="13"/>
  <c r="E895" i="13"/>
  <c r="E131" i="13"/>
  <c r="E443" i="13"/>
  <c r="E840" i="13"/>
  <c r="E554" i="13"/>
  <c r="E882" i="13"/>
  <c r="E1167" i="13"/>
  <c r="E356" i="13"/>
  <c r="E1183" i="13"/>
  <c r="E1299" i="13"/>
  <c r="E1191" i="13"/>
  <c r="E439" i="13"/>
  <c r="E1283" i="13"/>
  <c r="E985" i="13"/>
  <c r="E743" i="13"/>
  <c r="E911" i="13"/>
  <c r="E806" i="13"/>
  <c r="E963" i="13"/>
  <c r="E992" i="13"/>
  <c r="E1275" i="13"/>
  <c r="E1372" i="13"/>
  <c r="E1434" i="13"/>
  <c r="E784" i="13"/>
  <c r="E1107" i="13"/>
  <c r="E135" i="13"/>
  <c r="E1126" i="13"/>
  <c r="E232" i="13"/>
  <c r="E1610" i="13"/>
  <c r="E965" i="13"/>
  <c r="E785" i="13"/>
  <c r="E713" i="13"/>
  <c r="E1604" i="13"/>
  <c r="E75" i="13"/>
  <c r="E742" i="13"/>
  <c r="E1684" i="13"/>
  <c r="E137" i="13"/>
  <c r="E1491" i="13"/>
  <c r="E119" i="13"/>
  <c r="E705" i="13"/>
  <c r="E1073" i="13"/>
  <c r="E1208" i="13"/>
  <c r="E190" i="13"/>
  <c r="E1512" i="13"/>
  <c r="E162" i="13"/>
  <c r="E1543" i="13"/>
  <c r="E1184" i="13"/>
  <c r="E252" i="13"/>
  <c r="E178" i="13"/>
  <c r="E1576" i="13"/>
  <c r="E624" i="13"/>
  <c r="E589" i="13"/>
  <c r="E266" i="13"/>
  <c r="E1527" i="13"/>
  <c r="E712" i="13"/>
  <c r="E50" i="13"/>
  <c r="E815" i="13"/>
  <c r="E1408" i="13"/>
  <c r="E1562" i="13"/>
  <c r="E445" i="13"/>
  <c r="E1144" i="13"/>
  <c r="E277" i="13"/>
  <c r="E311" i="13"/>
  <c r="E1439" i="13"/>
  <c r="E1067" i="13"/>
  <c r="E732" i="13"/>
  <c r="E1511" i="13"/>
  <c r="E1518" i="13"/>
  <c r="E924" i="13"/>
  <c r="E983" i="13"/>
  <c r="E1265" i="13"/>
  <c r="E735" i="13"/>
  <c r="E1070" i="13"/>
  <c r="E53" i="13"/>
  <c r="E543" i="13"/>
  <c r="E329" i="13"/>
  <c r="E864" i="13"/>
  <c r="E981" i="13"/>
  <c r="E1252" i="13"/>
  <c r="E522" i="13"/>
  <c r="E1579" i="13"/>
  <c r="E708" i="13"/>
  <c r="E23" i="13"/>
  <c r="E1051" i="13"/>
  <c r="E396" i="13"/>
  <c r="E478" i="13"/>
  <c r="E702" i="13"/>
  <c r="E1646" i="13"/>
  <c r="E1546" i="13"/>
  <c r="E1080" i="13"/>
  <c r="E1175" i="13"/>
  <c r="E791" i="13"/>
  <c r="E1412" i="13"/>
  <c r="E654" i="13"/>
  <c r="E1507" i="13"/>
  <c r="E701" i="13"/>
  <c r="E32" i="13"/>
  <c r="E437" i="13"/>
  <c r="E1140" i="13"/>
  <c r="E1152" i="13"/>
  <c r="E1307" i="13"/>
  <c r="E653" i="13"/>
  <c r="E582" i="13"/>
  <c r="E608" i="13"/>
  <c r="E1541" i="13"/>
  <c r="E756" i="13"/>
  <c r="E1399" i="13"/>
  <c r="E47" i="13"/>
  <c r="E1519" i="13"/>
  <c r="E500" i="13"/>
  <c r="E1652" i="13"/>
  <c r="E1217" i="13"/>
  <c r="E241" i="13"/>
  <c r="E1360" i="13"/>
  <c r="E827" i="13"/>
  <c r="E751" i="13"/>
  <c r="E1325" i="13"/>
  <c r="E1292" i="13"/>
  <c r="E459" i="13"/>
  <c r="E973" i="13"/>
  <c r="E1605" i="13"/>
  <c r="E416" i="13"/>
  <c r="E1076" i="13"/>
  <c r="E307" i="13"/>
  <c r="E1200" i="13"/>
  <c r="E183" i="13"/>
  <c r="E255" i="13"/>
  <c r="E733" i="13"/>
  <c r="E946" i="13"/>
  <c r="E1453" i="13"/>
  <c r="E879" i="13"/>
  <c r="E773" i="13"/>
  <c r="E1667" i="13"/>
  <c r="E1727" i="13"/>
  <c r="E1251" i="13"/>
  <c r="E54" i="13"/>
  <c r="E234" i="13"/>
  <c r="E945" i="13"/>
  <c r="E995" i="13"/>
  <c r="E673" i="13"/>
  <c r="E842" i="13"/>
  <c r="E70" i="13"/>
  <c r="E216" i="13"/>
  <c r="E916" i="13"/>
  <c r="E1593" i="13"/>
  <c r="E1001" i="13"/>
  <c r="E490" i="13"/>
  <c r="E1166" i="13"/>
  <c r="E979" i="13"/>
  <c r="E306" i="13"/>
  <c r="E584" i="13"/>
  <c r="E489" i="13"/>
  <c r="E345" i="13"/>
  <c r="E470" i="13"/>
  <c r="E714" i="13"/>
  <c r="E1088" i="13"/>
  <c r="E901" i="13"/>
  <c r="E1330" i="13"/>
  <c r="E747" i="13"/>
  <c r="E820" i="13"/>
  <c r="E96" i="13"/>
  <c r="E258" i="13"/>
  <c r="E987" i="13"/>
  <c r="E949" i="13"/>
  <c r="E777" i="13"/>
  <c r="E559" i="13"/>
  <c r="E320" i="13"/>
  <c r="E802" i="13"/>
  <c r="E414" i="13"/>
  <c r="E926" i="13"/>
  <c r="E327" i="13"/>
  <c r="E844" i="13"/>
  <c r="E457" i="13"/>
  <c r="E59" i="13"/>
  <c r="E1197" i="13"/>
  <c r="E374" i="13"/>
  <c r="E734" i="13"/>
  <c r="E1315" i="13"/>
  <c r="E1176" i="13"/>
  <c r="E1105" i="13"/>
  <c r="E1356" i="13"/>
  <c r="E80" i="13"/>
  <c r="E38" i="13"/>
  <c r="E745" i="13"/>
  <c r="E873" i="13"/>
  <c r="E909" i="13"/>
  <c r="E406" i="13"/>
  <c r="E753" i="13"/>
  <c r="E1404" i="13"/>
  <c r="E31" i="13"/>
  <c r="E545" i="13"/>
  <c r="E580" i="13"/>
  <c r="E319" i="13"/>
  <c r="E388" i="13"/>
  <c r="E1273" i="13"/>
  <c r="E1521" i="13"/>
  <c r="E362" i="13"/>
  <c r="E929" i="13"/>
  <c r="E950" i="13"/>
  <c r="E577" i="13"/>
  <c r="E400" i="13"/>
  <c r="E686" i="13"/>
  <c r="E106" i="13"/>
  <c r="E614" i="13"/>
  <c r="E1024" i="13"/>
  <c r="E250" i="13"/>
  <c r="E1047" i="13"/>
  <c r="E1305" i="13"/>
  <c r="E1340" i="13"/>
  <c r="E496" i="13"/>
  <c r="E1110" i="13"/>
  <c r="E1653" i="13"/>
  <c r="E424" i="13"/>
  <c r="E337" i="13"/>
  <c r="E1517" i="13"/>
  <c r="E1154" i="13"/>
  <c r="E1477" i="13"/>
  <c r="E82" i="13"/>
  <c r="E1375" i="13"/>
  <c r="E448" i="13"/>
  <c r="E79" i="13"/>
  <c r="E1329" i="13"/>
  <c r="E332" i="13"/>
  <c r="E261" i="13"/>
  <c r="E1052" i="13"/>
  <c r="E401" i="13"/>
  <c r="E639" i="13"/>
  <c r="E776" i="13"/>
  <c r="E160" i="13"/>
  <c r="E1463" i="13"/>
  <c r="E562" i="13"/>
  <c r="E1055" i="13"/>
  <c r="E1481" i="13"/>
  <c r="E431" i="13"/>
  <c r="E913" i="13"/>
  <c r="E458" i="13"/>
  <c r="E243" i="13"/>
  <c r="E1054" i="13"/>
  <c r="E1608" i="13"/>
  <c r="E103" i="13"/>
  <c r="E412" i="13"/>
  <c r="E847" i="13"/>
  <c r="E715" i="13"/>
  <c r="E1113" i="13"/>
  <c r="E1062" i="13"/>
  <c r="E1602" i="13"/>
  <c r="E246" i="13"/>
  <c r="E888" i="13"/>
  <c r="E1710" i="13"/>
  <c r="E1538" i="13"/>
  <c r="E632" i="13"/>
  <c r="E1297" i="13"/>
  <c r="E790" i="13"/>
  <c r="E537" i="13"/>
  <c r="E1557" i="13"/>
  <c r="E57" i="13"/>
  <c r="E870" i="13"/>
  <c r="E402" i="13"/>
  <c r="E893" i="13"/>
  <c r="E738" i="13"/>
  <c r="E519" i="13"/>
  <c r="E1095" i="13"/>
  <c r="E1642" i="13"/>
  <c r="E65" i="13"/>
  <c r="E1383" i="13"/>
  <c r="E1492" i="13"/>
  <c r="E886" i="13"/>
  <c r="E1098" i="13"/>
  <c r="E883" i="13"/>
  <c r="E136" i="13"/>
  <c r="E1445" i="13"/>
  <c r="E132" i="13"/>
  <c r="E669" i="13"/>
  <c r="E822" i="13"/>
  <c r="E1574" i="13"/>
  <c r="E540" i="13"/>
  <c r="E984" i="13"/>
  <c r="E1533" i="13"/>
  <c r="E102" i="13"/>
  <c r="E1248" i="13"/>
  <c r="E55" i="13"/>
  <c r="E479" i="13"/>
  <c r="E118" i="13"/>
  <c r="E1046" i="13"/>
  <c r="E839" i="13"/>
  <c r="E749" i="13"/>
  <c r="E1009" i="13"/>
  <c r="E1411" i="13"/>
  <c r="E1083" i="13"/>
  <c r="E286" i="13"/>
  <c r="E1695" i="13"/>
  <c r="E1232" i="13"/>
  <c r="E1456" i="13"/>
  <c r="E508" i="13"/>
  <c r="E7" i="13"/>
  <c r="E215" i="13"/>
  <c r="E239" i="13"/>
  <c r="E491" i="13"/>
  <c r="E900" i="13"/>
  <c r="E172" i="13"/>
  <c r="E1647" i="13"/>
  <c r="E316" i="13"/>
  <c r="E145" i="13"/>
  <c r="E150" i="13"/>
  <c r="E1323" i="13"/>
  <c r="E1632" i="13"/>
  <c r="E1379" i="13"/>
  <c r="E12" i="13"/>
  <c r="E1131" i="13"/>
  <c r="E976" i="13"/>
  <c r="E1224" i="13"/>
  <c r="E1158" i="13"/>
  <c r="E1133" i="13"/>
  <c r="E1504" i="13"/>
  <c r="E1532" i="13"/>
  <c r="E257" i="13"/>
  <c r="E1676" i="13"/>
  <c r="E755" i="13"/>
  <c r="E1500" i="13"/>
  <c r="E1174" i="13"/>
  <c r="E1722" i="13"/>
  <c r="E219" i="13"/>
  <c r="E497" i="13"/>
  <c r="E385" i="13"/>
  <c r="E213" i="13"/>
  <c r="E342" i="13"/>
  <c r="E670" i="13"/>
  <c r="E1708" i="13"/>
  <c r="E1535" i="13"/>
  <c r="E541" i="13"/>
  <c r="E1229" i="13"/>
  <c r="E625" i="13"/>
  <c r="E663" i="13"/>
  <c r="E1426" i="13"/>
  <c r="E1367" i="13"/>
  <c r="E510" i="13"/>
  <c r="E276" i="13"/>
  <c r="E1071" i="13"/>
  <c r="E1435" i="13"/>
  <c r="E1178" i="13"/>
  <c r="E1401" i="13"/>
  <c r="E1011" i="13"/>
  <c r="E157" i="13"/>
  <c r="E659" i="13"/>
  <c r="E461" i="13"/>
  <c r="E906" i="13"/>
  <c r="E271" i="13"/>
  <c r="E1429" i="13"/>
  <c r="E1324" i="13"/>
  <c r="E903" i="13"/>
  <c r="E897" i="13"/>
  <c r="E352" i="13"/>
  <c r="E315" i="13"/>
  <c r="E1677" i="13"/>
  <c r="E1648" i="13"/>
  <c r="E126" i="13"/>
  <c r="E1369" i="13"/>
  <c r="E645" i="13"/>
  <c r="E1259" i="13"/>
  <c r="E392" i="13"/>
  <c r="E837" i="13"/>
  <c r="E1044" i="13"/>
  <c r="E1045" i="13"/>
  <c r="E759" i="13"/>
  <c r="E16" i="13"/>
  <c r="E111" i="13"/>
  <c r="E339" i="13"/>
  <c r="E910" i="13"/>
  <c r="E1715" i="13"/>
  <c r="E1626" i="13"/>
  <c r="E861" i="13"/>
  <c r="E1666" i="13"/>
  <c r="E1256" i="13"/>
  <c r="E1480" i="13"/>
  <c r="E766" i="13"/>
  <c r="E1699" i="13"/>
  <c r="E56" i="13"/>
  <c r="E1685" i="13"/>
  <c r="E731" i="13"/>
  <c r="E83" i="13"/>
  <c r="E1662" i="13"/>
  <c r="E1257" i="13"/>
  <c r="E1276" i="13"/>
  <c r="E177" i="13"/>
  <c r="E1495" i="13"/>
  <c r="E405" i="13"/>
  <c r="E1683" i="13"/>
  <c r="E606" i="13"/>
  <c r="E1496" i="13"/>
  <c r="E1376" i="13"/>
  <c r="E1396" i="13"/>
  <c r="E648" i="13"/>
  <c r="E1443" i="13"/>
  <c r="E1494" i="13"/>
  <c r="E930" i="13"/>
  <c r="E25" i="13"/>
  <c r="E698" i="13"/>
  <c r="E347" i="13"/>
  <c r="E642" i="13"/>
  <c r="E746" i="13"/>
  <c r="E1572" i="13"/>
  <c r="E1130" i="13"/>
  <c r="E581" i="13"/>
  <c r="E81" i="13"/>
  <c r="E1438" i="13"/>
  <c r="E596" i="13"/>
  <c r="E570" i="13"/>
  <c r="E788" i="13"/>
  <c r="E469" i="13"/>
  <c r="E298" i="13"/>
  <c r="E533" i="13"/>
  <c r="E1717" i="13"/>
  <c r="E228" i="13"/>
  <c r="E391" i="13"/>
  <c r="E256" i="13"/>
  <c r="E556" i="13"/>
  <c r="E1331" i="13"/>
  <c r="E229" i="13"/>
  <c r="E425" i="13"/>
  <c r="E850" i="13"/>
  <c r="E1234" i="13"/>
  <c r="E1681" i="13"/>
  <c r="E154" i="13"/>
  <c r="E112" i="13"/>
  <c r="E1729" i="13"/>
  <c r="E593" i="13"/>
  <c r="E655" i="13"/>
  <c r="E413" i="13"/>
  <c r="E529" i="13"/>
  <c r="E1627" i="13"/>
  <c r="E1249" i="13"/>
  <c r="E1115" i="13"/>
  <c r="E1693" i="13"/>
  <c r="E1582" i="13"/>
  <c r="E1448" i="13"/>
  <c r="E1364" i="13"/>
  <c r="E444" i="13"/>
  <c r="E1451" i="13"/>
  <c r="E370" i="13"/>
  <c r="E618" i="13"/>
  <c r="E652" i="13"/>
  <c r="E1454" i="13"/>
  <c r="E1603" i="13"/>
  <c r="E242" i="13"/>
  <c r="E1002" i="13"/>
  <c r="E1206" i="13"/>
  <c r="E551" i="13"/>
  <c r="E1551" i="13"/>
  <c r="E1592" i="13"/>
  <c r="E782" i="13"/>
  <c r="E1319" i="13"/>
  <c r="E1190" i="13"/>
  <c r="E1650" i="13"/>
  <c r="E9" i="13"/>
  <c r="E1365" i="13"/>
  <c r="E1137" i="13"/>
  <c r="E1628" i="13"/>
  <c r="E202" i="13"/>
  <c r="E1180" i="13"/>
  <c r="E212" i="13"/>
  <c r="E649" i="13"/>
  <c r="E422" i="13"/>
  <c r="E1657" i="13"/>
  <c r="E576" i="13"/>
  <c r="E1065" i="13"/>
  <c r="E1381" i="13"/>
  <c r="E1219" i="13"/>
  <c r="E1674" i="13"/>
  <c r="E1589" i="13"/>
  <c r="E297" i="13"/>
  <c r="E408" i="13"/>
  <c r="E1237" i="13"/>
  <c r="E502" i="13"/>
  <c r="E905" i="13"/>
  <c r="E313" i="13"/>
  <c r="E515" i="13"/>
  <c r="E93" i="13"/>
  <c r="E72" i="13"/>
  <c r="E991" i="13"/>
  <c r="E74" i="13"/>
  <c r="E122" i="13"/>
  <c r="E301" i="13"/>
  <c r="E1168" i="13"/>
  <c r="E453" i="13"/>
  <c r="E192" i="13"/>
  <c r="E862" i="13"/>
  <c r="E748" i="13"/>
  <c r="E962" i="13"/>
  <c r="E1186" i="13"/>
  <c r="E630" i="13"/>
  <c r="E1169" i="13"/>
  <c r="E518" i="13"/>
  <c r="E146" i="13"/>
  <c r="E292" i="13"/>
  <c r="E1663" i="13"/>
  <c r="E532" i="13"/>
  <c r="E824" i="13"/>
  <c r="E1101" i="13"/>
  <c r="E1542" i="13"/>
  <c r="E1342" i="13"/>
  <c r="E210" i="13"/>
  <c r="E1578" i="13"/>
  <c r="E739" i="13"/>
  <c r="E214" i="13"/>
  <c r="E1336" i="13"/>
  <c r="E1241" i="13"/>
  <c r="E970" i="13"/>
  <c r="E467" i="13"/>
  <c r="E143" i="13"/>
  <c r="E1675" i="13"/>
  <c r="E1258" i="13"/>
  <c r="E1400" i="13"/>
  <c r="E1528" i="13"/>
  <c r="E1682" i="13"/>
  <c r="E348" i="13"/>
  <c r="E884" i="13"/>
  <c r="E1213" i="13"/>
  <c r="E786" i="13"/>
  <c r="E58" i="13"/>
  <c r="E1078" i="13"/>
  <c r="E960" i="13"/>
  <c r="E188" i="13"/>
  <c r="E1209" i="13"/>
  <c r="E730" i="13"/>
  <c r="E1724" i="13"/>
  <c r="E1199" i="13"/>
  <c r="E1631" i="13"/>
  <c r="E720" i="13"/>
  <c r="E834" i="13"/>
  <c r="E1049" i="13"/>
  <c r="E373" i="13"/>
  <c r="E1370" i="13"/>
  <c r="E687" i="13"/>
  <c r="E394" i="13"/>
  <c r="E631" i="13"/>
  <c r="E1390" i="13"/>
  <c r="E1277" i="13"/>
  <c r="E180" i="13"/>
  <c r="E1214" i="13"/>
  <c r="E415" i="13"/>
  <c r="E200" i="13"/>
  <c r="E1410" i="13"/>
  <c r="E36" i="13"/>
  <c r="E672" i="13"/>
  <c r="E1641" i="13"/>
  <c r="E1150" i="13"/>
  <c r="E640" i="13"/>
  <c r="E1625" i="13"/>
  <c r="E1510" i="13"/>
  <c r="E736" i="13"/>
  <c r="E1148" i="13"/>
  <c r="E572" i="13"/>
  <c r="E1236" i="13"/>
  <c r="E73" i="13"/>
  <c r="E197" i="13"/>
  <c r="E1706" i="13"/>
  <c r="E1656" i="13"/>
  <c r="E86" i="13"/>
  <c r="E346" i="13"/>
  <c r="E565" i="13"/>
  <c r="E1288" i="13"/>
  <c r="E1100" i="13"/>
  <c r="E129" i="13"/>
  <c r="E335" i="13"/>
  <c r="E781" i="13"/>
  <c r="E1124" i="13"/>
  <c r="E1075" i="13"/>
  <c r="E955" i="13"/>
  <c r="E42" i="13"/>
  <c r="E1017" i="13"/>
  <c r="E382" i="13"/>
  <c r="E1050" i="13"/>
  <c r="E626" i="13"/>
  <c r="E771" i="13"/>
  <c r="E340" i="13"/>
  <c r="E1082" i="13"/>
  <c r="E896" i="13"/>
  <c r="E774" i="13"/>
  <c r="E317" i="13"/>
  <c r="E845" i="13"/>
  <c r="E795" i="13"/>
  <c r="E855" i="13"/>
  <c r="E868" i="13"/>
  <c r="E878" i="13"/>
  <c r="E472" i="13"/>
  <c r="E1584" i="13"/>
  <c r="E432" i="13"/>
  <c r="E1304" i="13"/>
  <c r="E278" i="13"/>
  <c r="E1586" i="13"/>
  <c r="E647" i="13"/>
  <c r="E534" i="13"/>
  <c r="E355" i="13"/>
  <c r="E569" i="13"/>
  <c r="E538" i="13"/>
  <c r="E488" i="13"/>
  <c r="E1446" i="13"/>
  <c r="E527" i="13"/>
  <c r="E811" i="13"/>
  <c r="E169" i="13"/>
  <c r="E859" i="13"/>
  <c r="E578" i="13"/>
  <c r="E737" i="13"/>
  <c r="E917" i="13"/>
  <c r="E1122" i="13"/>
  <c r="E1394" i="13"/>
  <c r="E1595" i="13"/>
  <c r="E1485" i="13"/>
  <c r="E1350" i="13"/>
  <c r="E860" i="13"/>
  <c r="E1620" i="13"/>
  <c r="E403" i="13"/>
  <c r="E725" i="13"/>
  <c r="E1460" i="13"/>
  <c r="E744" i="13"/>
  <c r="E810" i="13"/>
  <c r="E134" i="13"/>
  <c r="E1405" i="13"/>
  <c r="E1135" i="13"/>
  <c r="E1093" i="13"/>
  <c r="E660" i="13"/>
  <c r="E1064" i="13"/>
  <c r="E940" i="13"/>
  <c r="E1700" i="13"/>
  <c r="E856" i="13"/>
  <c r="E206" i="13"/>
  <c r="E207" i="13"/>
  <c r="E641" i="13"/>
  <c r="E369" i="13"/>
  <c r="E40" i="13"/>
  <c r="E1565" i="13"/>
  <c r="E1036" i="13"/>
  <c r="E84" i="13"/>
  <c r="E1222" i="13"/>
  <c r="E1337" i="13"/>
  <c r="E1616" i="13"/>
  <c r="E1549" i="13"/>
  <c r="E449" i="13"/>
  <c r="E279" i="13"/>
  <c r="E1015" i="13"/>
  <c r="E484" i="13"/>
  <c r="E1458" i="13"/>
  <c r="E666" i="13"/>
  <c r="E1658" i="13"/>
  <c r="E1373" i="13"/>
  <c r="E1210" i="13"/>
  <c r="E230" i="13"/>
  <c r="E1092" i="13"/>
  <c r="E43" i="13"/>
  <c r="E1444" i="13"/>
  <c r="E775" i="13"/>
  <c r="E1038" i="13"/>
  <c r="E1247" i="13"/>
  <c r="E304" i="13"/>
  <c r="E427" i="13"/>
  <c r="E343" i="13"/>
  <c r="E1005" i="13"/>
  <c r="E125" i="13"/>
  <c r="E1346" i="13"/>
  <c r="E1039" i="13"/>
  <c r="E165" i="13"/>
  <c r="E1640" i="13"/>
  <c r="E1244" i="13"/>
  <c r="E179" i="13"/>
  <c r="E609" i="13"/>
  <c r="E1540" i="13"/>
  <c r="E1732" i="13"/>
  <c r="E1123" i="13"/>
  <c r="E1255" i="13"/>
  <c r="E115" i="13"/>
  <c r="E159" i="13"/>
  <c r="E1670" i="13"/>
  <c r="E1725" i="13"/>
  <c r="E514" i="13"/>
  <c r="E854" i="13"/>
  <c r="E1099" i="13"/>
  <c r="E971" i="13"/>
  <c r="E64" i="13"/>
  <c r="E710" i="13"/>
  <c r="E253" i="13"/>
  <c r="E1673" i="13"/>
  <c r="E45" i="13"/>
  <c r="E1298" i="13"/>
  <c r="E1630" i="13"/>
  <c r="E1091" i="13"/>
  <c r="E567" i="13"/>
  <c r="E1544" i="13"/>
  <c r="E1422" i="13"/>
  <c r="E62" i="13"/>
  <c r="E1437" i="13"/>
  <c r="E1003" i="13"/>
  <c r="E34" i="13"/>
  <c r="E1407" i="13"/>
  <c r="E865" i="13"/>
  <c r="E957" i="13"/>
  <c r="E789" i="13"/>
  <c r="E1023" i="13"/>
  <c r="E1730" i="13"/>
  <c r="E726" i="13"/>
  <c r="E1690" i="13"/>
  <c r="E284" i="13"/>
  <c r="E67" i="13"/>
  <c r="E1185" i="13"/>
  <c r="E799" i="13"/>
  <c r="E480" i="13"/>
  <c r="E1384" i="13"/>
  <c r="E740" i="13"/>
  <c r="E44" i="13"/>
  <c r="E1397" i="13"/>
  <c r="E935" i="13"/>
  <c r="E288" i="13"/>
  <c r="E1413" i="13"/>
  <c r="E1345" i="13"/>
  <c r="E1216" i="13"/>
  <c r="E1561" i="13"/>
  <c r="E603" i="13"/>
  <c r="E351" i="13"/>
  <c r="E1398" i="13"/>
  <c r="E19" i="13"/>
  <c r="E1424" i="13"/>
  <c r="E1127" i="13"/>
  <c r="E138" i="13"/>
  <c r="E22" i="13"/>
  <c r="E123" i="13"/>
  <c r="E1649" i="13"/>
  <c r="E1483" i="13"/>
  <c r="E1406" i="13"/>
  <c r="E1638" i="13"/>
  <c r="E579" i="13"/>
  <c r="E1293" i="13"/>
  <c r="E1409" i="13"/>
  <c r="E1281" i="13"/>
  <c r="E434" i="13"/>
  <c r="E1102" i="13"/>
  <c r="E1368" i="13"/>
  <c r="E1086" i="13"/>
  <c r="E1644" i="13"/>
  <c r="E24" i="13"/>
  <c r="E442" i="13"/>
  <c r="E936" i="13"/>
  <c r="E1651" i="13"/>
  <c r="E711" i="13"/>
  <c r="E1501" i="13"/>
  <c r="E1419" i="13"/>
  <c r="E1664" i="13"/>
  <c r="E120" i="13"/>
  <c r="E993" i="13"/>
  <c r="E1271" i="13"/>
  <c r="E1377" i="13"/>
  <c r="E1263" i="13"/>
  <c r="E728" i="13"/>
  <c r="E1215" i="13"/>
  <c r="E314" i="13"/>
  <c r="E1296" i="13"/>
  <c r="E397" i="13"/>
  <c r="E1585" i="13"/>
  <c r="E1553" i="13"/>
  <c r="E1472" i="13"/>
  <c r="E205" i="13"/>
  <c r="E707" i="13"/>
  <c r="E1733" i="13"/>
  <c r="E30" i="13"/>
  <c r="E908" i="13"/>
  <c r="E1221" i="13"/>
  <c r="E621" i="13"/>
  <c r="E409" i="13"/>
  <c r="E1253" i="13"/>
  <c r="E689" i="13"/>
  <c r="E1471" i="13"/>
  <c r="E127" i="13"/>
  <c r="E920" i="13"/>
  <c r="E196" i="13"/>
  <c r="E676" i="13"/>
  <c r="E1240" i="13"/>
  <c r="E521" i="13"/>
  <c r="E634" i="13"/>
  <c r="E1498" i="13"/>
  <c r="E326" i="13"/>
  <c r="E341" i="13"/>
  <c r="E944" i="13"/>
  <c r="E1525" i="13"/>
  <c r="E889" i="13"/>
  <c r="E376" i="13"/>
  <c r="E321" i="13"/>
  <c r="E176" i="13"/>
  <c r="E1508" i="13"/>
  <c r="E793" i="13"/>
  <c r="E1295" i="13"/>
  <c r="E646" i="13"/>
  <c r="E1389" i="13"/>
  <c r="E848" i="13"/>
  <c r="E185" i="13"/>
  <c r="E1596" i="13"/>
  <c r="E934" i="13"/>
  <c r="E542" i="13"/>
  <c r="E325" i="13"/>
  <c r="E681" i="13"/>
  <c r="E980" i="13"/>
  <c r="E1316" i="13"/>
  <c r="E1567" i="13"/>
  <c r="E366" i="13"/>
  <c r="E961" i="13"/>
  <c r="E1322" i="13"/>
  <c r="E1436" i="13"/>
  <c r="E1029" i="13"/>
  <c r="E89" i="13"/>
  <c r="E440" i="13"/>
  <c r="E33" i="13"/>
  <c r="E520" i="13"/>
  <c r="E193" i="13"/>
  <c r="E186" i="13"/>
  <c r="E610" i="13"/>
  <c r="E46" i="13"/>
  <c r="E48" i="13"/>
  <c r="E674" i="13"/>
  <c r="E1177" i="13"/>
  <c r="E1119" i="13"/>
  <c r="E218" i="13"/>
  <c r="E813" i="13"/>
  <c r="E846" i="13"/>
  <c r="E1274" i="13"/>
  <c r="E1678" i="13"/>
  <c r="E699" i="13"/>
  <c r="E101" i="13"/>
  <c r="E1327" i="13"/>
  <c r="E650" i="13"/>
  <c r="E117" i="13"/>
  <c r="E1278" i="13"/>
  <c r="E932" i="13"/>
  <c r="E566" i="13"/>
  <c r="E1712" i="13"/>
  <c r="E1260" i="13"/>
  <c r="E456" i="13"/>
  <c r="E616" i="13"/>
  <c r="E1028" i="13"/>
  <c r="E1155" i="13"/>
  <c r="E378" i="13"/>
  <c r="E1357" i="13"/>
  <c r="E482" i="13"/>
  <c r="E447" i="13"/>
  <c r="E1580" i="13"/>
  <c r="E1079" i="13"/>
  <c r="E372" i="13"/>
  <c r="E1591" i="13"/>
  <c r="E161" i="13"/>
  <c r="E1233" i="13"/>
  <c r="E158" i="13"/>
  <c r="E724" i="13"/>
  <c r="E1600" i="13"/>
  <c r="E231" i="13"/>
  <c r="E833" i="13"/>
  <c r="E1188" i="13"/>
  <c r="E300" i="13"/>
  <c r="E800" i="13"/>
  <c r="E1455" i="13"/>
  <c r="E627" i="13"/>
  <c r="E758" i="13"/>
  <c r="E1151" i="13"/>
  <c r="E1025" i="13"/>
  <c r="E1320" i="13"/>
  <c r="E455" i="13"/>
  <c r="E1194" i="13"/>
  <c r="E1704" i="13"/>
  <c r="E1146" i="13"/>
  <c r="E463" i="13"/>
  <c r="E1402" i="13"/>
  <c r="E780" i="13"/>
  <c r="E1597" i="13"/>
  <c r="E390" i="13"/>
  <c r="E225" i="13"/>
  <c r="E485" i="13"/>
  <c r="E818" i="13"/>
  <c r="E1672" i="13"/>
  <c r="E1548" i="13"/>
  <c r="E465" i="13"/>
  <c r="E357" i="13"/>
  <c r="E1116" i="13"/>
  <c r="E517" i="13"/>
  <c r="E1380" i="13"/>
  <c r="E835" i="13"/>
  <c r="E407" i="13"/>
  <c r="E592" i="13"/>
  <c r="E1590" i="13"/>
  <c r="E1053" i="13"/>
  <c r="E560" i="13"/>
  <c r="E88" i="13"/>
  <c r="E166" i="13"/>
  <c r="E636" i="13"/>
  <c r="E665" i="13"/>
  <c r="E1059" i="13"/>
  <c r="E398" i="13"/>
  <c r="E1008" i="13"/>
  <c r="E601" i="13"/>
  <c r="E1587" i="13"/>
  <c r="E525" i="13"/>
  <c r="E1718" i="13"/>
  <c r="E15" i="13"/>
  <c r="E595" i="13"/>
  <c r="E671" i="13"/>
  <c r="E1414" i="13"/>
  <c r="E574" i="13"/>
  <c r="E1594" i="13"/>
  <c r="E419" i="13"/>
  <c r="E1421" i="13"/>
  <c r="E586" i="13"/>
  <c r="E1462" i="13"/>
  <c r="E509" i="13"/>
  <c r="E1721" i="13"/>
  <c r="E359" i="13"/>
  <c r="E244" i="13"/>
  <c r="E927" i="13"/>
  <c r="E885" i="13"/>
  <c r="E494" i="13"/>
  <c r="E969" i="13"/>
  <c r="E511" i="13"/>
  <c r="E1111" i="13"/>
  <c r="E1417" i="13"/>
  <c r="E575" i="13"/>
  <c r="E1136" i="13"/>
  <c r="E1629" i="13"/>
  <c r="E454" i="13"/>
  <c r="E1418" i="13"/>
  <c r="E933" i="13"/>
  <c r="E233" i="13"/>
  <c r="E90" i="13"/>
  <c r="E1069" i="13"/>
  <c r="E1461" i="13"/>
  <c r="E1310" i="13"/>
  <c r="E1089" i="13"/>
  <c r="E982" i="13"/>
  <c r="E87" i="13"/>
  <c r="E1661" i="13"/>
  <c r="E5" i="13"/>
  <c r="E1204" i="13"/>
  <c r="E1711" i="13"/>
  <c r="E1475" i="13"/>
  <c r="E716" i="13"/>
  <c r="E97" i="13"/>
  <c r="E1416" i="13"/>
  <c r="E303" i="13"/>
  <c r="E1633" i="13"/>
  <c r="E8" i="13"/>
  <c r="E1488" i="13"/>
  <c r="E765" i="13"/>
  <c r="E1612" i="13"/>
  <c r="E812" i="13"/>
  <c r="E1671" i="13"/>
  <c r="E423" i="13"/>
  <c r="E690" i="13"/>
  <c r="E91" i="13"/>
  <c r="E1694" i="13"/>
  <c r="E1061" i="13"/>
  <c r="E1606" i="13"/>
  <c r="E171" i="13"/>
  <c r="E272" i="13"/>
  <c r="E4" i="13"/>
  <c r="E1004" i="13"/>
  <c r="E1639" i="13"/>
  <c r="E1363" i="13"/>
  <c r="E265" i="13"/>
  <c r="E952" i="13"/>
  <c r="E1479" i="13"/>
  <c r="E147" i="13"/>
  <c r="E779" i="13"/>
  <c r="E599" i="13"/>
  <c r="E1156" i="13"/>
  <c r="E1539" i="13"/>
  <c r="E1709" i="13"/>
  <c r="E222" i="13"/>
  <c r="E152" i="13"/>
  <c r="E1021" i="13"/>
  <c r="E1569" i="13"/>
  <c r="E1467" i="13"/>
  <c r="E1679" i="13"/>
  <c r="E1269" i="13"/>
  <c r="E706" i="13"/>
  <c r="E881" i="13"/>
  <c r="E259" i="13"/>
  <c r="E299" i="13"/>
  <c r="E1212" i="13"/>
  <c r="E1713" i="13"/>
  <c r="E505" i="13"/>
  <c r="E607" i="13"/>
  <c r="E851" i="13"/>
  <c r="E762" i="13"/>
  <c r="E296" i="13"/>
  <c r="E1010" i="13"/>
  <c r="E1006" i="13"/>
  <c r="E767" i="13"/>
  <c r="E363" i="13"/>
  <c r="E1430" i="13"/>
  <c r="E764" i="13"/>
  <c r="E1466" i="13"/>
  <c r="E1362" i="13"/>
  <c r="E1623" i="13"/>
  <c r="E1522" i="13"/>
  <c r="E168" i="13"/>
  <c r="E452" i="13"/>
  <c r="E173" i="13"/>
  <c r="E1636" i="13"/>
  <c r="E76" i="13"/>
  <c r="E563" i="13"/>
  <c r="E1720" i="13"/>
  <c r="E583" i="13"/>
  <c r="E794" i="13"/>
  <c r="E380" i="13"/>
  <c r="E1109" i="13"/>
  <c r="E1484" i="13"/>
  <c r="E104" i="13"/>
  <c r="E801" i="13"/>
  <c r="E1018" i="13"/>
  <c r="E684" i="13"/>
  <c r="E1112" i="13"/>
  <c r="E69" i="13"/>
  <c r="E41" i="13"/>
  <c r="E1552" i="13"/>
  <c r="E99" i="13"/>
  <c r="E211" i="13"/>
  <c r="E1502" i="13"/>
  <c r="E377" i="13"/>
  <c r="E1007" i="13"/>
  <c r="E418" i="13"/>
  <c r="E1094" i="13"/>
  <c r="E85" i="13"/>
  <c r="E221" i="13"/>
  <c r="E1734" i="13"/>
  <c r="E1193" i="13"/>
  <c r="E1033" i="13"/>
  <c r="E383" i="13"/>
  <c r="E1223" i="13"/>
  <c r="E114" i="13"/>
  <c r="E1474" i="13"/>
  <c r="E675" i="13"/>
  <c r="E1385" i="13"/>
  <c r="E1534" i="13"/>
  <c r="E719" i="13"/>
  <c r="E876" i="13"/>
  <c r="E796" i="13"/>
  <c r="E809" i="13"/>
  <c r="E21" i="13"/>
  <c r="E1348" i="13"/>
  <c r="E843" i="13"/>
  <c r="E270" i="13"/>
  <c r="E1066" i="13"/>
  <c r="E1468" i="13"/>
  <c r="E1057" i="13"/>
  <c r="E1096" i="13"/>
  <c r="E375" i="13"/>
  <c r="E657" i="13"/>
  <c r="E77" i="13"/>
  <c r="E1358" i="13"/>
  <c r="E1272" i="13"/>
  <c r="E623" i="13"/>
  <c r="E410" i="13"/>
  <c r="E1000" i="13"/>
  <c r="E1560" i="13"/>
  <c r="E17" i="13"/>
  <c r="E1026" i="13"/>
  <c r="E142" i="13"/>
  <c r="E1607" i="13"/>
  <c r="E691" i="13"/>
  <c r="E1427" i="13"/>
  <c r="E331" i="13"/>
  <c r="E612" i="13"/>
  <c r="E1312" i="13"/>
  <c r="E1072" i="13"/>
  <c r="E1170" i="13"/>
  <c r="E435" i="13"/>
  <c r="E384" i="13"/>
  <c r="E1575" i="13"/>
  <c r="E553" i="13"/>
  <c r="E1403" i="13"/>
  <c r="E1371" i="13"/>
  <c r="E121" i="13"/>
  <c r="E1262" i="13"/>
  <c r="E235" i="13"/>
  <c r="E1440" i="13"/>
  <c r="E1157" i="13"/>
  <c r="E107" i="13"/>
  <c r="E187" i="13"/>
  <c r="E1395" i="13"/>
  <c r="E309" i="13"/>
  <c r="E1564" i="13"/>
  <c r="E1013" i="13"/>
  <c r="E1614" i="13"/>
  <c r="E141" i="13"/>
  <c r="E1218" i="13"/>
  <c r="E1588" i="13"/>
  <c r="E1201" i="13"/>
  <c r="E1469" i="13"/>
  <c r="E1497" i="13"/>
  <c r="E501" i="13"/>
  <c r="E986" i="13"/>
  <c r="E597" i="13"/>
  <c r="E872" i="13"/>
  <c r="E310" i="13"/>
  <c r="E6" i="13"/>
  <c r="E1264" i="13"/>
  <c r="E637" i="13"/>
  <c r="E1513" i="13"/>
  <c r="E1547" i="13"/>
  <c r="E528" i="13"/>
  <c r="E1487" i="13"/>
  <c r="E350" i="13"/>
  <c r="E1387" i="13"/>
  <c r="E817" i="13"/>
  <c r="E941" i="13"/>
  <c r="E358" i="13"/>
  <c r="E828" i="13"/>
  <c r="E1246" i="13"/>
  <c r="E498" i="13"/>
  <c r="E236" i="13"/>
  <c r="E365" i="13"/>
  <c r="E693" i="13"/>
  <c r="E869" i="13"/>
  <c r="E1391" i="13"/>
  <c r="E974" i="13"/>
  <c r="E201" i="13"/>
  <c r="E512" i="13"/>
  <c r="E1161" i="13"/>
  <c r="E988" i="13"/>
  <c r="E1705" i="13"/>
  <c r="E181" i="13"/>
  <c r="E925" i="13"/>
  <c r="E877" i="13"/>
  <c r="E163" i="13"/>
  <c r="E892" i="13"/>
  <c r="E972" i="13"/>
  <c r="E1723" i="13"/>
  <c r="E894" i="13"/>
  <c r="E1347" i="13"/>
  <c r="E1280" i="13"/>
  <c r="E1242" i="13"/>
  <c r="E825" i="13"/>
  <c r="E1267" i="13"/>
  <c r="E694" i="13"/>
  <c r="E561" i="13"/>
  <c r="E685" i="13"/>
  <c r="E1531" i="13"/>
  <c r="E11" i="13"/>
  <c r="E1334" i="13"/>
  <c r="E361" i="13"/>
  <c r="E1341" i="13"/>
  <c r="E1328" i="13"/>
  <c r="E203" i="13"/>
  <c r="E692" i="13"/>
  <c r="E1203" i="13"/>
  <c r="E184" i="13"/>
  <c r="E769" i="13"/>
  <c r="E237" i="13"/>
  <c r="E191" i="13"/>
  <c r="E858" i="13"/>
  <c r="E1509" i="13"/>
  <c r="E1554" i="13"/>
  <c r="E966" i="13"/>
  <c r="E98" i="13"/>
  <c r="E1702" i="13"/>
  <c r="E558" i="13"/>
  <c r="E3" i="13"/>
  <c r="E1300" i="13"/>
  <c r="E899" i="13"/>
  <c r="E450" i="13"/>
  <c r="E1020" i="13"/>
  <c r="E1499" i="13"/>
  <c r="E92" i="13"/>
  <c r="E947" i="13"/>
  <c r="E1207" i="13"/>
  <c r="E262" i="13"/>
  <c r="E164" i="13"/>
  <c r="E1660" i="13"/>
  <c r="E1027" i="13"/>
  <c r="E78" i="13"/>
  <c r="E1141" i="13"/>
  <c r="E282" i="13"/>
  <c r="E1163" i="13"/>
  <c r="E224" i="13"/>
  <c r="E71" i="13"/>
  <c r="E622" i="13"/>
  <c r="E226" i="13"/>
  <c r="E1689" i="13"/>
  <c r="E39" i="13"/>
  <c r="E1195" i="13"/>
  <c r="E1254" i="13"/>
  <c r="E1570" i="13"/>
  <c r="E1196" i="13"/>
  <c r="E1120" i="13"/>
  <c r="E1085" i="13"/>
  <c r="E539" i="13"/>
  <c r="E937" i="13"/>
  <c r="E20" i="13"/>
  <c r="E430" i="13"/>
  <c r="E638" i="13"/>
  <c r="E1068" i="13"/>
  <c r="E1433" i="13"/>
  <c r="E696" i="13"/>
  <c r="E761" i="13"/>
  <c r="E94" i="13"/>
  <c r="E1162" i="13"/>
  <c r="E1338" i="13"/>
  <c r="E37" i="13"/>
  <c r="E1366" i="13"/>
  <c r="E741" i="13"/>
  <c r="E379" i="13"/>
  <c r="E251" i="13"/>
  <c r="E1225" i="13"/>
  <c r="E1432" i="13"/>
  <c r="E1349" i="13"/>
  <c r="E499" i="13"/>
  <c r="E60" i="13"/>
  <c r="E1290" i="13"/>
  <c r="E1159" i="13"/>
  <c r="E757" i="13"/>
  <c r="E29" i="13"/>
  <c r="E524" i="13"/>
  <c r="E617" i="13"/>
  <c r="E1087" i="13"/>
  <c r="E153" i="13"/>
  <c r="E1261" i="13"/>
  <c r="E535" i="13"/>
  <c r="E1294" i="13"/>
  <c r="E620" i="13"/>
  <c r="E590" i="13"/>
  <c r="E395" i="13"/>
  <c r="E1235" i="13"/>
  <c r="E1243" i="13"/>
  <c r="E700" i="13"/>
  <c r="E291" i="13"/>
  <c r="E441" i="13"/>
  <c r="E721" i="13"/>
  <c r="E1668" i="13"/>
  <c r="E939" i="13"/>
  <c r="E1339" i="13"/>
  <c r="E139" i="13"/>
  <c r="E997" i="13"/>
  <c r="E907" i="13"/>
  <c r="E283" i="13"/>
  <c r="E1516" i="13"/>
  <c r="E1268" i="13"/>
  <c r="E1420" i="13"/>
  <c r="E1034" i="13"/>
  <c r="E473" i="13"/>
  <c r="E921" i="13"/>
  <c r="E105" i="13"/>
  <c r="E217" i="13"/>
  <c r="E1622" i="13"/>
  <c r="E61" i="13"/>
  <c r="E1476" i="13"/>
  <c r="E260" i="13"/>
  <c r="E838" i="13"/>
  <c r="E1308" i="13"/>
  <c r="E717" i="13"/>
  <c r="E1393" i="13"/>
  <c r="E1486" i="13"/>
  <c r="E697" i="13"/>
  <c r="E999" i="13"/>
  <c r="E1084" i="13"/>
  <c r="E967" i="13"/>
  <c r="E658" i="13"/>
  <c r="E644" i="13"/>
  <c r="E803" i="13"/>
  <c r="E1192" i="13"/>
  <c r="E1354" i="13"/>
  <c r="E1270" i="13"/>
  <c r="E404" i="13"/>
  <c r="E836" i="13"/>
  <c r="E1613" i="13"/>
  <c r="E1490" i="13"/>
  <c r="E1153" i="13"/>
  <c r="E651" i="13"/>
  <c r="E245" i="13"/>
  <c r="E1489" i="13"/>
  <c r="E875" i="13"/>
  <c r="E1238" i="13"/>
  <c r="E546" i="13"/>
  <c r="E805" i="13"/>
  <c r="E149" i="13"/>
  <c r="E1735" i="13"/>
  <c r="E912" i="13"/>
  <c r="E958" i="13"/>
  <c r="E841" i="13"/>
  <c r="E507" i="13"/>
  <c r="E602" i="13"/>
  <c r="E386" i="13"/>
  <c r="E977" i="13"/>
  <c r="E1361" i="13"/>
  <c r="E1529" i="13"/>
  <c r="E18" i="13"/>
  <c r="E619" i="13"/>
  <c r="E729" i="13"/>
  <c r="E752" i="13"/>
  <c r="E1313" i="13"/>
  <c r="E826" i="13"/>
  <c r="E998" i="13"/>
  <c r="E1317" i="13"/>
  <c r="E1125" i="13"/>
  <c r="E116" i="13"/>
  <c r="E1415" i="13"/>
  <c r="E1524" i="13"/>
  <c r="E968" i="13"/>
  <c r="E1464" i="13"/>
  <c r="E204" i="13"/>
  <c r="E1335" i="13"/>
  <c r="E503" i="13"/>
  <c r="E1611" i="13"/>
  <c r="E1581" i="13"/>
  <c r="E763" i="13"/>
  <c r="E890" i="13"/>
  <c r="E368" i="13"/>
  <c r="E247" i="13"/>
  <c r="E128" i="13"/>
  <c r="E550" i="13"/>
  <c r="E1537" i="13"/>
  <c r="E1179" i="13"/>
  <c r="E130" i="13"/>
  <c r="E1515" i="13"/>
  <c r="E1378" i="13"/>
  <c r="E1182" i="13"/>
  <c r="E504" i="13"/>
  <c r="E1279" i="13"/>
  <c r="E110" i="13"/>
  <c r="E1239" i="13"/>
  <c r="E938" i="13"/>
  <c r="E1374" i="13"/>
  <c r="E544" i="13"/>
  <c r="E1314" i="13"/>
  <c r="E568" i="13"/>
  <c r="E1452" i="13"/>
  <c r="E1556" i="13"/>
  <c r="E1643" i="13"/>
  <c r="E1114" i="13"/>
  <c r="E547" i="13"/>
  <c r="E1692" i="13"/>
  <c r="E483" i="13"/>
  <c r="E1172" i="13"/>
  <c r="E1423" i="13"/>
  <c r="E474" i="13"/>
  <c r="E360" i="13"/>
  <c r="E1352" i="13"/>
  <c r="E1701" i="13"/>
  <c r="E656" i="13"/>
  <c r="E10" i="13"/>
  <c r="E428" i="13"/>
  <c r="E959" i="13"/>
  <c r="E1428" i="13"/>
  <c r="E849" i="13"/>
  <c r="E1716" i="13"/>
  <c r="E923" i="13"/>
  <c r="E330" i="13"/>
  <c r="E1014" i="13"/>
  <c r="E433" i="13"/>
  <c r="E750" i="13"/>
  <c r="E718" i="13"/>
  <c r="E564" i="13"/>
  <c r="E387" i="13"/>
  <c r="E573" i="13"/>
  <c r="E1449" i="13"/>
  <c r="E1220" i="13"/>
  <c r="E1566" i="13"/>
  <c r="E1022" i="13"/>
  <c r="E140" i="13"/>
  <c r="E462" i="13"/>
  <c r="E195" i="13"/>
  <c r="E1245" i="13"/>
  <c r="E1697" i="13"/>
  <c r="E124" i="13"/>
  <c r="E333" i="13"/>
  <c r="E787" i="13"/>
  <c r="E476" i="13"/>
  <c r="E1568" i="13"/>
  <c r="E1665" i="13"/>
  <c r="E421" i="13"/>
  <c r="E922" i="13"/>
  <c r="E1505" i="13"/>
  <c r="E1473" i="13"/>
  <c r="E471" i="13"/>
  <c r="E513" i="13"/>
  <c r="E1696" i="13"/>
  <c r="E1205" i="13"/>
  <c r="E1343" i="13"/>
  <c r="E223" i="13"/>
  <c r="E600" i="13"/>
  <c r="E1577" i="13"/>
  <c r="E1359" i="13"/>
  <c r="E1060" i="13"/>
  <c r="E1081" i="13"/>
  <c r="E1621" i="13"/>
  <c r="E273" i="13"/>
  <c r="E486" i="13"/>
  <c r="E804" i="13"/>
  <c r="E1187" i="13"/>
  <c r="E1470" i="13"/>
  <c r="E148" i="13"/>
  <c r="E832" i="13"/>
  <c r="E1211" i="13"/>
  <c r="E338" i="13"/>
  <c r="E662" i="13"/>
  <c r="E194" i="13"/>
  <c r="E953" i="13"/>
  <c r="E857" i="13"/>
  <c r="E481" i="13"/>
  <c r="E683" i="13"/>
  <c r="E1121" i="13"/>
  <c r="E1691" i="13"/>
  <c r="E1012" i="13"/>
  <c r="E1058" i="13"/>
  <c r="E209" i="13"/>
  <c r="E1571" i="13"/>
  <c r="E1431" i="13"/>
  <c r="E557" i="13"/>
  <c r="E807" i="13"/>
  <c r="E1171" i="13"/>
  <c r="E680" i="13"/>
  <c r="E1230" i="13"/>
  <c r="E108" i="13"/>
  <c r="E312" i="13"/>
  <c r="E594" i="13"/>
  <c r="E254" i="13"/>
  <c r="E1503" i="13"/>
  <c r="E1728" i="13"/>
  <c r="E182" i="13"/>
  <c r="E571" i="13"/>
  <c r="E264" i="13"/>
  <c r="E1719" i="13"/>
  <c r="E1465" i="13"/>
  <c r="E1291" i="13"/>
  <c r="E1250" i="13"/>
  <c r="E285" i="13"/>
  <c r="E549" i="13"/>
  <c r="E808" i="13"/>
  <c r="E797" i="13"/>
  <c r="E429" i="13"/>
  <c r="E1030" i="13"/>
  <c r="E1106" i="13"/>
  <c r="E792" i="13"/>
  <c r="E604" i="13"/>
  <c r="E417" i="13"/>
  <c r="E323" i="13"/>
  <c r="E770" i="13"/>
  <c r="E1550" i="13"/>
  <c r="E1450" i="13"/>
  <c r="E555" i="13"/>
  <c r="E668" i="13"/>
  <c r="E931" i="13"/>
  <c r="E1425" i="13"/>
  <c r="E1645" i="13"/>
  <c r="E381" i="13"/>
  <c r="E151" i="13"/>
  <c r="E598" i="13"/>
  <c r="E526" i="13"/>
  <c r="E26" i="13"/>
  <c r="E51" i="13"/>
  <c r="E109" i="13"/>
  <c r="E1726" i="13"/>
  <c r="E1037" i="13"/>
  <c r="E305" i="13"/>
  <c r="E294" i="13"/>
  <c r="E336" i="13"/>
  <c r="E1493" i="13"/>
  <c r="E1321" i="13"/>
  <c r="E814" i="13"/>
  <c r="E334" i="13"/>
  <c r="E289" i="13"/>
  <c r="E199" i="13"/>
  <c r="E1132" i="13"/>
  <c r="E487" i="13"/>
  <c r="E493" i="13"/>
  <c r="E95" i="13"/>
  <c r="E703" i="13"/>
  <c r="E1309" i="13"/>
  <c r="E322" i="13"/>
  <c r="E411" i="13"/>
  <c r="E964" i="13"/>
  <c r="E1103" i="13"/>
  <c r="E1609" i="13"/>
  <c r="E1285" i="13"/>
  <c r="E1442" i="13"/>
  <c r="E688" i="13"/>
  <c r="E1040" i="13"/>
  <c r="E280" i="13"/>
  <c r="E281" i="13"/>
  <c r="E887" i="13"/>
  <c r="E954" i="13"/>
  <c r="E1048" i="13"/>
  <c r="E1355" i="13"/>
  <c r="E1318" i="13"/>
  <c r="E1536" i="13"/>
  <c r="E874" i="13"/>
  <c r="E853" i="13"/>
  <c r="E464" i="13"/>
  <c r="E1386" i="13"/>
  <c r="E591" i="13"/>
  <c r="E1181" i="13"/>
  <c r="E1599" i="13"/>
  <c r="E918" i="13"/>
  <c r="E1016" i="13"/>
  <c r="E605" i="13"/>
  <c r="E768" i="13"/>
  <c r="E678" i="13"/>
  <c r="E495" i="13"/>
  <c r="E1165" i="13"/>
  <c r="E1042" i="13"/>
  <c r="E1284" i="13"/>
  <c r="E1686" i="13"/>
  <c r="E754" i="13"/>
  <c r="E530" i="13"/>
  <c r="E1634" i="13"/>
  <c r="E709" i="13"/>
  <c r="E661" i="13"/>
  <c r="E679" i="13"/>
  <c r="E1145" i="13"/>
  <c r="E1514" i="13"/>
  <c r="E1698" i="13"/>
  <c r="E951" i="13"/>
  <c r="E367" i="13"/>
  <c r="E155" i="13"/>
  <c r="E677" i="13"/>
  <c r="E1714" i="13"/>
  <c r="E468" i="13"/>
  <c r="E466" i="13"/>
  <c r="E915" i="13"/>
  <c r="E436" i="13"/>
  <c r="E1736" i="13"/>
  <c r="E1303" i="13"/>
  <c r="E328" i="13"/>
  <c r="E133" i="13"/>
  <c r="E35" i="13"/>
  <c r="E263" i="13"/>
  <c r="E68" i="13"/>
  <c r="O76" i="13"/>
  <c r="K91" i="1"/>
  <c r="I85" i="1"/>
  <c r="M70" i="13"/>
  <c r="M74" i="13"/>
  <c r="I89" i="1"/>
  <c r="M76" i="13"/>
  <c r="I91" i="1"/>
  <c r="K84" i="1"/>
  <c r="O69" i="13"/>
  <c r="C22" i="37"/>
  <c r="K75" i="38"/>
  <c r="C35" i="37"/>
  <c r="J87" i="38"/>
  <c r="K87" i="38"/>
  <c r="K93" i="1"/>
  <c r="O78" i="13"/>
  <c r="C33" i="37"/>
  <c r="K85" i="38"/>
  <c r="J85" i="38"/>
  <c r="K92" i="1"/>
  <c r="O77" i="13"/>
  <c r="K89" i="1"/>
  <c r="O74" i="13"/>
  <c r="I78" i="13"/>
  <c r="D93" i="1"/>
  <c r="J58" i="13"/>
  <c r="I86" i="1"/>
  <c r="M71" i="13"/>
  <c r="L90" i="12"/>
  <c r="K90" i="12"/>
  <c r="K74" i="38"/>
  <c r="C21" i="37"/>
  <c r="J74" i="38"/>
  <c r="K88" i="1"/>
  <c r="O73" i="13"/>
  <c r="I94" i="1"/>
  <c r="M79" i="13"/>
  <c r="AU37" i="32"/>
  <c r="AU36" i="32"/>
  <c r="AU30" i="32"/>
  <c r="AU14" i="32"/>
  <c r="AU7" i="32"/>
  <c r="K9" i="21" s="1"/>
  <c r="AU6" i="32"/>
  <c r="K8" i="21" s="1"/>
  <c r="AU5" i="32"/>
  <c r="K7" i="21" s="1"/>
  <c r="AU34" i="32"/>
  <c r="AU17" i="32"/>
  <c r="AU15" i="32"/>
  <c r="AU26" i="32"/>
  <c r="AU22" i="32"/>
  <c r="AU29" i="32"/>
  <c r="AU33" i="32"/>
  <c r="AU25" i="32"/>
  <c r="AU11" i="32"/>
  <c r="K13" i="21" s="1"/>
  <c r="AU28" i="32"/>
  <c r="AU9" i="32"/>
  <c r="K11" i="21" s="1"/>
  <c r="AU39" i="32"/>
  <c r="AU38" i="32"/>
  <c r="AU44" i="32"/>
  <c r="AU27" i="32"/>
  <c r="AU12" i="32"/>
  <c r="K14" i="21" s="1"/>
  <c r="AU32" i="32"/>
  <c r="AU18" i="32"/>
  <c r="AU10" i="32"/>
  <c r="K12" i="21" s="1"/>
  <c r="AU24" i="32"/>
  <c r="AU45" i="32"/>
  <c r="AU23" i="32"/>
  <c r="AU42" i="32"/>
  <c r="AU19" i="32"/>
  <c r="AU8" i="32"/>
  <c r="K10" i="21" s="1"/>
  <c r="AU20" i="32"/>
  <c r="AU35" i="32"/>
  <c r="C26" i="10"/>
  <c r="AU41" i="32"/>
  <c r="AU40" i="32"/>
  <c r="AU21" i="32"/>
  <c r="AU13" i="32"/>
  <c r="K15" i="21" s="1"/>
  <c r="AU31" i="32"/>
  <c r="AU4" i="32"/>
  <c r="K6" i="21" s="1"/>
  <c r="K4" i="21" s="1"/>
  <c r="AU16" i="32"/>
  <c r="AU43" i="32"/>
  <c r="K86" i="38"/>
  <c r="C34" i="37"/>
  <c r="J86" i="38"/>
  <c r="I79" i="13"/>
  <c r="D94" i="1"/>
  <c r="J59" i="13"/>
  <c r="F94" i="1"/>
  <c r="K79" i="13"/>
  <c r="K87" i="1"/>
  <c r="O72" i="13"/>
  <c r="K76" i="38"/>
  <c r="J76" i="38"/>
  <c r="C23" i="37"/>
  <c r="D92" i="1"/>
  <c r="I77" i="13"/>
  <c r="I92" i="1"/>
  <c r="M77" i="13"/>
  <c r="I93" i="1"/>
  <c r="M78" i="13"/>
  <c r="K85" i="1"/>
  <c r="O70" i="13"/>
  <c r="I87" i="1"/>
  <c r="M72" i="13"/>
  <c r="I90" i="1"/>
  <c r="M75" i="13"/>
  <c r="M69" i="13"/>
  <c r="I84" i="1"/>
  <c r="M73" i="13"/>
  <c r="I88" i="1"/>
  <c r="K90" i="1"/>
  <c r="O75" i="13"/>
  <c r="D58" i="13" l="1"/>
  <c r="C189" i="13"/>
  <c r="C1085" i="13"/>
  <c r="C178" i="13"/>
  <c r="C1619" i="13"/>
  <c r="C137" i="13"/>
  <c r="C247" i="13"/>
  <c r="C1108" i="13"/>
  <c r="C920" i="13"/>
  <c r="C140" i="13"/>
  <c r="C388" i="13"/>
  <c r="C1216" i="13"/>
  <c r="C163" i="13"/>
  <c r="C1199" i="13"/>
  <c r="C433" i="13"/>
  <c r="C813" i="13"/>
  <c r="C1023" i="13"/>
  <c r="C123" i="13"/>
  <c r="C1098" i="13"/>
  <c r="C1676" i="13"/>
  <c r="C1473" i="13"/>
  <c r="C464" i="13"/>
  <c r="C1537" i="13"/>
  <c r="C1500" i="13"/>
  <c r="C418" i="13"/>
  <c r="C428" i="13"/>
  <c r="C699" i="13"/>
  <c r="C395" i="13"/>
  <c r="C1293" i="13"/>
  <c r="C878" i="13"/>
  <c r="C924" i="13"/>
  <c r="C81" i="13"/>
  <c r="C254" i="13"/>
  <c r="C64" i="13"/>
  <c r="C108" i="13"/>
  <c r="C1110" i="13"/>
  <c r="C306" i="13"/>
  <c r="C672" i="13"/>
  <c r="C317" i="13"/>
  <c r="C1457" i="13"/>
  <c r="C980" i="13"/>
  <c r="C1183" i="13"/>
  <c r="C1345" i="13"/>
  <c r="C1148" i="13"/>
  <c r="C196" i="13"/>
  <c r="C935" i="13"/>
  <c r="C1039" i="13"/>
  <c r="C1705" i="13"/>
  <c r="C1180" i="13"/>
  <c r="C179" i="13"/>
  <c r="C1106" i="13"/>
  <c r="C1322" i="13"/>
  <c r="C1465" i="13"/>
  <c r="C1363" i="13"/>
  <c r="C264" i="13"/>
  <c r="C710" i="13"/>
  <c r="C1459" i="13"/>
  <c r="C1596" i="13"/>
  <c r="C1495" i="13"/>
  <c r="C809" i="13"/>
  <c r="C1326" i="13"/>
  <c r="C1113" i="13"/>
  <c r="C1542" i="13"/>
  <c r="C450" i="13"/>
  <c r="C344" i="13"/>
  <c r="C94" i="13"/>
  <c r="C1579" i="13"/>
  <c r="C1246" i="13"/>
  <c r="C908" i="13"/>
  <c r="C515" i="13"/>
  <c r="C945" i="13"/>
  <c r="C557" i="13"/>
  <c r="C1390" i="13"/>
  <c r="C893" i="13"/>
  <c r="C860" i="13"/>
  <c r="C1086" i="13"/>
  <c r="C448" i="13"/>
  <c r="C1055" i="13"/>
  <c r="C1253" i="13"/>
  <c r="C1642" i="13"/>
  <c r="C734" i="13"/>
  <c r="C1236" i="13"/>
  <c r="C237" i="13"/>
  <c r="C1441" i="13"/>
  <c r="C1002" i="13"/>
  <c r="C298" i="13"/>
  <c r="C1483" i="13"/>
  <c r="C1428" i="13"/>
  <c r="C1000" i="13"/>
  <c r="C1256" i="13"/>
  <c r="C1252" i="13"/>
  <c r="C23" i="13"/>
  <c r="C1389" i="13"/>
  <c r="C1047" i="13"/>
  <c r="C1534" i="13"/>
  <c r="C1308" i="13"/>
  <c r="C522" i="13"/>
  <c r="C423" i="13"/>
  <c r="C979" i="13"/>
  <c r="C1434" i="13"/>
  <c r="C1668" i="13"/>
  <c r="C397" i="13"/>
  <c r="C986" i="13"/>
  <c r="C828" i="13"/>
  <c r="C1061" i="13"/>
  <c r="C432" i="13"/>
  <c r="C1577" i="13"/>
  <c r="C128" i="13"/>
  <c r="C1178" i="13"/>
  <c r="C1041" i="13"/>
  <c r="C1548" i="13"/>
  <c r="C1469" i="13"/>
  <c r="C1245" i="13"/>
  <c r="C1606" i="13"/>
  <c r="C1064" i="13"/>
  <c r="C1118" i="13"/>
  <c r="C988" i="13"/>
  <c r="C1331" i="13"/>
  <c r="C383" i="13"/>
  <c r="C758" i="13"/>
  <c r="C180" i="13"/>
  <c r="C1682" i="13"/>
  <c r="C1282" i="13"/>
  <c r="C1314" i="13"/>
  <c r="C853" i="13"/>
  <c r="C1150" i="13"/>
  <c r="C1636" i="13"/>
  <c r="C749" i="13"/>
  <c r="C770" i="13"/>
  <c r="C52" i="13"/>
  <c r="C968" i="13"/>
  <c r="C1028" i="13"/>
  <c r="C1384" i="13"/>
  <c r="C1321" i="13"/>
  <c r="C1635" i="13"/>
  <c r="C895" i="13"/>
  <c r="C1574" i="13"/>
  <c r="C901" i="13"/>
  <c r="C700" i="13"/>
  <c r="C998" i="13"/>
  <c r="C459" i="13"/>
  <c r="C258" i="13"/>
  <c r="C933" i="13"/>
  <c r="C671" i="13"/>
  <c r="C374" i="13"/>
  <c r="C159" i="13"/>
  <c r="C535" i="13"/>
  <c r="C220" i="13"/>
  <c r="C371" i="13"/>
  <c r="C466" i="13"/>
  <c r="C1060" i="13"/>
  <c r="C1607" i="13"/>
  <c r="C1207" i="13"/>
  <c r="C599" i="13"/>
  <c r="C630" i="13"/>
  <c r="C925" i="13"/>
  <c r="C114" i="13"/>
  <c r="C205" i="13"/>
  <c r="C1481" i="13"/>
  <c r="C20" i="13"/>
  <c r="C416" i="13"/>
  <c r="C1641" i="13"/>
  <c r="C105" i="13"/>
  <c r="C1612" i="13"/>
  <c r="C1189" i="13"/>
  <c r="C1388" i="13"/>
  <c r="C587" i="13"/>
  <c r="C1711" i="13"/>
  <c r="C888" i="13"/>
  <c r="C742" i="13"/>
  <c r="C834" i="13"/>
  <c r="C1244" i="13"/>
  <c r="C839" i="13"/>
  <c r="C354" i="13"/>
  <c r="C1522" i="13"/>
  <c r="C350" i="13"/>
  <c r="C1265" i="13"/>
  <c r="C989" i="13"/>
  <c r="C134" i="13"/>
  <c r="C1407" i="13"/>
  <c r="C187" i="13"/>
  <c r="C1056" i="13"/>
  <c r="C57" i="13"/>
  <c r="C1152" i="13"/>
  <c r="C394" i="13"/>
  <c r="C788" i="13"/>
  <c r="C175" i="13"/>
  <c r="C1722" i="13"/>
  <c r="C1154" i="13"/>
  <c r="C1372" i="13"/>
  <c r="C635" i="13"/>
  <c r="C51" i="13"/>
  <c r="C1155" i="13"/>
  <c r="C1466" i="13"/>
  <c r="C479" i="13"/>
  <c r="C1038" i="13"/>
  <c r="C1262" i="13"/>
  <c r="C812" i="13"/>
  <c r="C796" i="13"/>
  <c r="C1440" i="13"/>
  <c r="C927" i="13"/>
  <c r="C692" i="13"/>
  <c r="C1215" i="13"/>
  <c r="C1242" i="13"/>
  <c r="C783" i="13"/>
  <c r="C810" i="13"/>
  <c r="C341" i="13"/>
  <c r="C462" i="13"/>
  <c r="C1544" i="13"/>
  <c r="C1278" i="13"/>
  <c r="C78" i="13"/>
  <c r="C1255" i="13"/>
  <c r="C1523" i="13"/>
  <c r="C90" i="13"/>
  <c r="C218" i="13"/>
  <c r="C138" i="13"/>
  <c r="C69" i="13"/>
  <c r="C511" i="13"/>
  <c r="C372" i="13"/>
  <c r="C1204" i="13"/>
  <c r="C646" i="13"/>
  <c r="C863" i="13"/>
  <c r="C387" i="13"/>
  <c r="C1177" i="13"/>
  <c r="C526" i="13"/>
  <c r="C186" i="13"/>
  <c r="C1402" i="13"/>
  <c r="C1689" i="13"/>
  <c r="C1425" i="13"/>
  <c r="C1137" i="13"/>
  <c r="C1621" i="13"/>
  <c r="C736" i="13"/>
  <c r="C1333" i="13"/>
  <c r="C1565" i="13"/>
  <c r="C1625" i="13"/>
  <c r="C932" i="13"/>
  <c r="C325" i="13"/>
  <c r="C1258" i="13"/>
  <c r="C1443" i="13"/>
  <c r="C181" i="13"/>
  <c r="C1161" i="13"/>
  <c r="C38" i="13"/>
  <c r="C1260" i="13"/>
  <c r="C1229" i="13"/>
  <c r="C857" i="13"/>
  <c r="C1059" i="13"/>
  <c r="C1201" i="13"/>
  <c r="C815" i="13"/>
  <c r="C903" i="13"/>
  <c r="C1553" i="13"/>
  <c r="C690" i="13"/>
  <c r="C1073" i="13"/>
  <c r="C1731" i="13"/>
  <c r="C1306" i="13"/>
  <c r="C1205" i="13"/>
  <c r="C1227" i="13"/>
  <c r="C335" i="13"/>
  <c r="C1638" i="13"/>
  <c r="C1182" i="13"/>
  <c r="C437" i="13"/>
  <c r="C1298" i="13"/>
  <c r="C691" i="13"/>
  <c r="C715" i="13"/>
  <c r="C923" i="13"/>
  <c r="C1667" i="13"/>
  <c r="C160" i="13"/>
  <c r="C1499" i="13"/>
  <c r="C582" i="13"/>
  <c r="C1097" i="13"/>
  <c r="C1251" i="13"/>
  <c r="C728" i="13"/>
  <c r="C1092" i="13"/>
  <c r="C716" i="13"/>
  <c r="C1228" i="13"/>
  <c r="C361" i="13"/>
  <c r="C1184" i="13"/>
  <c r="C49" i="13"/>
  <c r="C837" i="13"/>
  <c r="C795" i="13"/>
  <c r="C897" i="13"/>
  <c r="C844" i="13"/>
  <c r="C1054" i="13"/>
  <c r="C1036" i="13"/>
  <c r="C290" i="13"/>
  <c r="C527" i="13"/>
  <c r="C166" i="13"/>
  <c r="C1387" i="13"/>
  <c r="C473" i="13"/>
  <c r="C117" i="13"/>
  <c r="C103" i="13"/>
  <c r="C59" i="13"/>
  <c r="C866" i="13"/>
  <c r="C1174" i="13"/>
  <c r="C193" i="13"/>
  <c r="C1651" i="13"/>
  <c r="C911" i="13"/>
  <c r="C797" i="13"/>
  <c r="C1121" i="13"/>
  <c r="C952" i="13"/>
  <c r="C1598" i="13"/>
  <c r="C1166" i="13"/>
  <c r="C1303" i="13"/>
  <c r="C1163" i="13"/>
  <c r="C1241" i="13"/>
  <c r="C1042" i="13"/>
  <c r="C224" i="13"/>
  <c r="C337" i="13"/>
  <c r="C211" i="13"/>
  <c r="C213" i="13"/>
  <c r="C739" i="13"/>
  <c r="C1103" i="13"/>
  <c r="C824" i="13"/>
  <c r="C346" i="13"/>
  <c r="C1248" i="13"/>
  <c r="C1530" i="13"/>
  <c r="C761" i="13"/>
  <c r="C962" i="13"/>
  <c r="C295" i="13"/>
  <c r="C360" i="13"/>
  <c r="C1597" i="13"/>
  <c r="C495" i="13"/>
  <c r="C16" i="13"/>
  <c r="C1487" i="13"/>
  <c r="C1179" i="13"/>
  <c r="C55" i="13"/>
  <c r="C965" i="13"/>
  <c r="C242" i="13"/>
  <c r="C1279" i="13"/>
  <c r="C666" i="13"/>
  <c r="C280" i="13"/>
  <c r="C1602" i="13"/>
  <c r="C1226" i="13"/>
  <c r="C717" i="13"/>
  <c r="C1486" i="13"/>
  <c r="C316" i="13"/>
  <c r="C182" i="13"/>
  <c r="C1160" i="13"/>
  <c r="C478" i="13"/>
  <c r="C362" i="13"/>
  <c r="C706" i="13"/>
  <c r="C975" i="13"/>
  <c r="C1116" i="13"/>
  <c r="C313" i="13"/>
  <c r="C1378" i="13"/>
  <c r="C748" i="13"/>
  <c r="C1172" i="13"/>
  <c r="C1135" i="13"/>
  <c r="C549" i="13"/>
  <c r="C563" i="13"/>
  <c r="C534" i="13"/>
  <c r="C1701" i="13"/>
  <c r="C1632" i="13"/>
  <c r="C869" i="13"/>
  <c r="C841" i="13"/>
  <c r="C602" i="13"/>
  <c r="C112" i="13"/>
  <c r="C1423" i="13"/>
  <c r="C1672" i="13"/>
  <c r="C382" i="13"/>
  <c r="C436" i="13"/>
  <c r="C648" i="13"/>
  <c r="C5" i="13"/>
  <c r="C1126" i="13"/>
  <c r="C1111" i="13"/>
  <c r="C312" i="13"/>
  <c r="C595" i="13"/>
  <c r="C1249" i="13"/>
  <c r="C811" i="13"/>
  <c r="C725" i="13"/>
  <c r="C541" i="13"/>
  <c r="C513" i="13"/>
  <c r="C1401" i="13"/>
  <c r="C1376" i="13"/>
  <c r="C1343" i="13"/>
  <c r="C981" i="13"/>
  <c r="C165" i="13"/>
  <c r="C144" i="13"/>
  <c r="C528" i="13"/>
  <c r="C109" i="13"/>
  <c r="C1037" i="13"/>
  <c r="C1339" i="13"/>
  <c r="C308" i="13"/>
  <c r="C343" i="13"/>
  <c r="C1156" i="13"/>
  <c r="C110" i="13"/>
  <c r="C184" i="13"/>
  <c r="C442" i="13"/>
  <c r="C1525" i="13"/>
  <c r="C1088" i="13"/>
  <c r="C19" i="13"/>
  <c r="C1562" i="13"/>
  <c r="C942" i="13"/>
  <c r="C3" i="13"/>
  <c r="C560" i="13"/>
  <c r="C319" i="13"/>
  <c r="C1167" i="13"/>
  <c r="C1266" i="13"/>
  <c r="C1532" i="13"/>
  <c r="C1609" i="13"/>
  <c r="C207" i="13"/>
  <c r="C293" i="13"/>
  <c r="C512" i="13"/>
  <c r="C1456" i="13"/>
  <c r="C257" i="13"/>
  <c r="C636" i="13"/>
  <c r="C34" i="13"/>
  <c r="C1552" i="13"/>
  <c r="C1572" i="13"/>
  <c r="C43" i="13"/>
  <c r="C285" i="13"/>
  <c r="C1560" i="13"/>
  <c r="C1109" i="13"/>
  <c r="C1329" i="13"/>
  <c r="C409" i="13"/>
  <c r="C1100" i="13"/>
  <c r="C149" i="13"/>
  <c r="C612" i="13"/>
  <c r="C769" i="13"/>
  <c r="C550" i="13"/>
  <c r="C780" i="13"/>
  <c r="C493" i="13"/>
  <c r="C1352" i="13"/>
  <c r="C1567" i="13"/>
  <c r="C786" i="13"/>
  <c r="C490" i="13"/>
  <c r="C417" i="13"/>
  <c r="C667" i="13"/>
  <c r="C1017" i="13"/>
  <c r="C940" i="13"/>
  <c r="C65" i="13"/>
  <c r="C1517" i="13"/>
  <c r="C1653" i="13"/>
  <c r="C465" i="13"/>
  <c r="C148" i="13"/>
  <c r="C1445" i="13"/>
  <c r="C320" i="13"/>
  <c r="C539" i="13"/>
  <c r="C1637" i="13"/>
  <c r="C375" i="13"/>
  <c r="C197" i="13"/>
  <c r="C1310" i="13"/>
  <c r="C683" i="13"/>
  <c r="C1418" i="13"/>
  <c r="C1397" i="13"/>
  <c r="C1360" i="13"/>
  <c r="C1344" i="13"/>
  <c r="C664" i="13"/>
  <c r="C1071" i="13"/>
  <c r="C122" i="13"/>
  <c r="C954" i="13"/>
  <c r="C851" i="13"/>
  <c r="C330" i="13"/>
  <c r="C771" i="13"/>
  <c r="C54" i="13"/>
  <c r="C1496" i="13"/>
  <c r="C352" i="13"/>
  <c r="C628" i="13"/>
  <c r="C422" i="13"/>
  <c r="C74" i="13"/>
  <c r="C943" i="13"/>
  <c r="C1355" i="13"/>
  <c r="C1015" i="13"/>
  <c r="C1590" i="13"/>
  <c r="C855" i="13"/>
  <c r="C763" i="13"/>
  <c r="C1647" i="13"/>
  <c r="C1547" i="13"/>
  <c r="C1131" i="13"/>
  <c r="C817" i="13"/>
  <c r="C1114" i="13"/>
  <c r="C177" i="13"/>
  <c r="C1713" i="13"/>
  <c r="C1479" i="13"/>
  <c r="C778" i="13"/>
  <c r="C282" i="13"/>
  <c r="C1300" i="13"/>
  <c r="C994" i="13"/>
  <c r="C781" i="13"/>
  <c r="C1074" i="13"/>
  <c r="C1696" i="13"/>
  <c r="C106" i="13"/>
  <c r="C454" i="13"/>
  <c r="C1595" i="13"/>
  <c r="C1382" i="13"/>
  <c r="C368" i="13"/>
  <c r="C1196" i="13"/>
  <c r="C741" i="13"/>
  <c r="C1520" i="13"/>
  <c r="C576" i="13"/>
  <c r="C1449" i="13"/>
  <c r="C565" i="13"/>
  <c r="C738" i="13"/>
  <c r="C1521" i="13"/>
  <c r="C959" i="13"/>
  <c r="C948" i="13"/>
  <c r="C369" i="13"/>
  <c r="C794" i="13"/>
  <c r="C1480" i="13"/>
  <c r="C82" i="13"/>
  <c r="C476" i="13"/>
  <c r="C1230" i="13"/>
  <c r="C256" i="13"/>
  <c r="C1342" i="13"/>
  <c r="C1670" i="13"/>
  <c r="C1640" i="13"/>
  <c r="C58" i="13"/>
  <c r="C678" i="13"/>
  <c r="C1149" i="13"/>
  <c r="C1558" i="13"/>
  <c r="C937" i="13"/>
  <c r="C1551" i="13"/>
  <c r="C1571" i="13"/>
  <c r="C1296" i="13"/>
  <c r="C1575" i="13"/>
  <c r="C1202" i="13"/>
  <c r="C408" i="13"/>
  <c r="C1408" i="13"/>
  <c r="C1476" i="13"/>
  <c r="C1658" i="13"/>
  <c r="C1050" i="13"/>
  <c r="C1730" i="13"/>
  <c r="C161" i="13"/>
  <c r="C1475" i="13"/>
  <c r="C531" i="13"/>
  <c r="C629" i="13"/>
  <c r="C1639" i="13"/>
  <c r="C1027" i="13"/>
  <c r="C720" i="13"/>
  <c r="C518" i="13"/>
  <c r="C367" i="13"/>
  <c r="C1664" i="13"/>
  <c r="C1044" i="13"/>
  <c r="C1393" i="13"/>
  <c r="C91" i="13"/>
  <c r="C401" i="13"/>
  <c r="C1379" i="13"/>
  <c r="C883" i="13"/>
  <c r="C496" i="13"/>
  <c r="C260" i="13"/>
  <c r="C564" i="13"/>
  <c r="C1075" i="13"/>
  <c r="C830" i="13"/>
  <c r="C559" i="13"/>
  <c r="C729" i="13"/>
  <c r="C1529" i="13"/>
  <c r="C1129" i="13"/>
  <c r="C484" i="13"/>
  <c r="C1123" i="13"/>
  <c r="C1573" i="13"/>
  <c r="C1220" i="13"/>
  <c r="C307" i="13"/>
  <c r="C958" i="13"/>
  <c r="C1555" i="13"/>
  <c r="C1138" i="13"/>
  <c r="C76" i="13"/>
  <c r="C574" i="13"/>
  <c r="C309" i="13"/>
  <c r="C1081" i="13"/>
  <c r="C915" i="13"/>
  <c r="C684" i="13"/>
  <c r="C1644" i="13"/>
  <c r="C703" i="13"/>
  <c r="C80" i="13"/>
  <c r="C44" i="13"/>
  <c r="C204" i="13"/>
  <c r="C1261" i="13"/>
  <c r="C1726" i="13"/>
  <c r="C1458" i="13"/>
  <c r="C577" i="13"/>
  <c r="C643" i="13"/>
  <c r="C1158" i="13"/>
  <c r="C194" i="13"/>
  <c r="C485" i="13"/>
  <c r="C521" i="13"/>
  <c r="C730" i="13"/>
  <c r="C598" i="13"/>
  <c r="C906" i="13"/>
  <c r="C1209" i="13"/>
  <c r="C1359" i="13"/>
  <c r="C1093" i="13"/>
  <c r="C104" i="13"/>
  <c r="C639" i="13"/>
  <c r="C13" i="13"/>
  <c r="C1419" i="13"/>
  <c r="C1025" i="13"/>
  <c r="C1678" i="13"/>
  <c r="C39" i="13"/>
  <c r="C850" i="13"/>
  <c r="C679" i="13"/>
  <c r="C1582" i="13"/>
  <c r="C1474" i="13"/>
  <c r="C239" i="13"/>
  <c r="C1471" i="13"/>
  <c r="C1327" i="13"/>
  <c r="C956" i="13"/>
  <c r="C886" i="13"/>
  <c r="C1666" i="13"/>
  <c r="C66" i="13"/>
  <c r="C823" i="13"/>
  <c r="C804" i="13"/>
  <c r="C1022" i="13"/>
  <c r="C767" i="13"/>
  <c r="C1660" i="13"/>
  <c r="C1681" i="13"/>
  <c r="C766" i="13"/>
  <c r="C1655" i="13"/>
  <c r="C862" i="13"/>
  <c r="C1223" i="13"/>
  <c r="C1413" i="13"/>
  <c r="C1732" i="13"/>
  <c r="C1703" i="13"/>
  <c r="C928" i="13"/>
  <c r="C955" i="13"/>
  <c r="C1683" i="13"/>
  <c r="C1614" i="13"/>
  <c r="C1004" i="13"/>
  <c r="C1485" i="13"/>
  <c r="C530" i="13"/>
  <c r="C983" i="13"/>
  <c r="C36" i="13"/>
  <c r="C760" i="13"/>
  <c r="C1350" i="13"/>
  <c r="C435" i="13"/>
  <c r="C1224" i="13"/>
  <c r="C471" i="13"/>
  <c r="C438" i="13"/>
  <c r="C1461" i="13"/>
  <c r="C1426" i="13"/>
  <c r="C1104" i="13"/>
  <c r="C386" i="13"/>
  <c r="C733" i="13"/>
  <c r="C520" i="13"/>
  <c r="C590" i="13"/>
  <c r="C1231" i="13"/>
  <c r="C660" i="13"/>
  <c r="C399" i="13"/>
  <c r="C1319" i="13"/>
  <c r="C553" i="13"/>
  <c r="C972" i="13"/>
  <c r="C726" i="13"/>
  <c r="C472" i="13"/>
  <c r="C1433" i="13"/>
  <c r="C276" i="13"/>
  <c r="C1324" i="13"/>
  <c r="C470" i="13"/>
  <c r="C996" i="13"/>
  <c r="C1679" i="13"/>
  <c r="C145" i="13"/>
  <c r="C1608" i="13"/>
  <c r="C638" i="13"/>
  <c r="C816" i="13"/>
  <c r="C1599" i="13"/>
  <c r="C1468" i="13"/>
  <c r="C1095" i="13"/>
  <c r="C86" i="13"/>
  <c r="C1691" i="13"/>
  <c r="C1451" i="13"/>
  <c r="C999" i="13"/>
  <c r="C1594" i="13"/>
  <c r="C243" i="13"/>
  <c r="C1316" i="13"/>
  <c r="C551" i="13"/>
  <c r="C1611" i="13"/>
  <c r="C92" i="13"/>
  <c r="C206" i="13"/>
  <c r="C1591" i="13"/>
  <c r="C548" i="13"/>
  <c r="C973" i="13"/>
  <c r="C702" i="13"/>
  <c r="C882" i="13"/>
  <c r="C970" i="13"/>
  <c r="C1556" i="13"/>
  <c r="C1698" i="13"/>
  <c r="C1395" i="13"/>
  <c r="C381" i="13"/>
  <c r="C1117" i="13"/>
  <c r="C97" i="13"/>
  <c r="C661" i="13"/>
  <c r="C1618" i="13"/>
  <c r="C173" i="13"/>
  <c r="C333" i="13"/>
  <c r="C1020" i="13"/>
  <c r="C1564" i="13"/>
  <c r="C170" i="13"/>
  <c r="C1164" i="13"/>
  <c r="C334" i="13"/>
  <c r="C286" i="13"/>
  <c r="C460" i="13"/>
  <c r="C881" i="13"/>
  <c r="C1235" i="13"/>
  <c r="C827" i="13"/>
  <c r="C1175" i="13"/>
  <c r="C1616" i="13"/>
  <c r="C852" i="13"/>
  <c r="C356" i="13"/>
  <c r="C29" i="13"/>
  <c r="C1289" i="13"/>
  <c r="C616" i="13"/>
  <c r="C589" i="13"/>
  <c r="C1200" i="13"/>
  <c r="C1191" i="13"/>
  <c r="C1192" i="13"/>
  <c r="C1718" i="13"/>
  <c r="C53" i="13"/>
  <c r="C1586" i="13"/>
  <c r="C115" i="13"/>
  <c r="C724" i="13"/>
  <c r="C1717" i="13"/>
  <c r="C1588" i="13"/>
  <c r="C1040" i="13"/>
  <c r="C1518" i="13"/>
  <c r="C567" i="13"/>
  <c r="C303" i="13"/>
  <c r="C1605" i="13"/>
  <c r="C314" i="13"/>
  <c r="C77" i="13"/>
  <c r="C389" i="13"/>
  <c r="C1704" i="13"/>
  <c r="C1286" i="13"/>
  <c r="C1687" i="13"/>
  <c r="C217" i="13"/>
  <c r="C698" i="13"/>
  <c r="C1080" i="13"/>
  <c r="C393" i="13"/>
  <c r="C1211" i="13"/>
  <c r="C644" i="13"/>
  <c r="C507" i="13"/>
  <c r="C665" i="13"/>
  <c r="C1076" i="13"/>
  <c r="C1043" i="13"/>
  <c r="C1493" i="13"/>
  <c r="C1318" i="13"/>
  <c r="C47" i="13"/>
  <c r="C1334" i="13"/>
  <c r="C249" i="13"/>
  <c r="C1008" i="13"/>
  <c r="C991" i="13"/>
  <c r="C600" i="13"/>
  <c r="C843" i="13"/>
  <c r="C879" i="13"/>
  <c r="C772" i="13"/>
  <c r="C342" i="13"/>
  <c r="C912" i="13"/>
  <c r="C329" i="13"/>
  <c r="C608" i="13"/>
  <c r="C443" i="13"/>
  <c r="C1309" i="13"/>
  <c r="C1613" i="13"/>
  <c r="C1035" i="13"/>
  <c r="C1650" i="13"/>
  <c r="C547" i="13"/>
  <c r="C1432" i="13"/>
  <c r="C156" i="13"/>
  <c r="C30" i="13"/>
  <c r="C913" i="13"/>
  <c r="C617" i="13"/>
  <c r="C1058" i="13"/>
  <c r="C469" i="13"/>
  <c r="C1340" i="13"/>
  <c r="C832" i="13"/>
  <c r="C960" i="13"/>
  <c r="C203" i="13"/>
  <c r="C571" i="13"/>
  <c r="C1364" i="13"/>
  <c r="C142" i="13"/>
  <c r="C1048" i="13"/>
  <c r="C1094" i="13"/>
  <c r="C785" i="13"/>
  <c r="C259" i="13"/>
  <c r="C750" i="13"/>
  <c r="C631" i="13"/>
  <c r="C682" i="13"/>
  <c r="C1243" i="13"/>
  <c r="C8" i="13"/>
  <c r="C680" i="13"/>
  <c r="C1072" i="13"/>
  <c r="C1684" i="13"/>
  <c r="C1661" i="13"/>
  <c r="C651" i="13"/>
  <c r="C1087" i="13"/>
  <c r="C714" i="13"/>
  <c r="C355" i="13"/>
  <c r="C191" i="13"/>
  <c r="C1212" i="13"/>
  <c r="C392" i="13"/>
  <c r="C926" i="13"/>
  <c r="C1709" i="13"/>
  <c r="C516" i="13"/>
  <c r="C1009" i="13"/>
  <c r="C929" i="13"/>
  <c r="C1694" i="13"/>
  <c r="C540" i="13"/>
  <c r="C1176" i="13"/>
  <c r="C1019" i="13"/>
  <c r="C819" i="13"/>
  <c r="C467" i="13"/>
  <c r="C340" i="13"/>
  <c r="C642" i="13"/>
  <c r="C977" i="13"/>
  <c r="C705" i="13"/>
  <c r="C985" i="13"/>
  <c r="C1652" i="13"/>
  <c r="C894" i="13"/>
  <c r="C502" i="13"/>
  <c r="C119" i="13"/>
  <c r="C1221" i="13"/>
  <c r="C1291" i="13"/>
  <c r="C84" i="13"/>
  <c r="C967" i="13"/>
  <c r="C315" i="13"/>
  <c r="C1603" i="13"/>
  <c r="C1115" i="13"/>
  <c r="C847" i="13"/>
  <c r="C1274" i="13"/>
  <c r="C1561" i="13"/>
  <c r="C1634" i="13"/>
  <c r="C96" i="13"/>
  <c r="C737" i="13"/>
  <c r="C953" i="13"/>
  <c r="C802" i="13"/>
  <c r="C1427" i="13"/>
  <c r="C1503" i="13"/>
  <c r="C655" i="13"/>
  <c r="C272" i="13"/>
  <c r="C126" i="13"/>
  <c r="C1450" i="13"/>
  <c r="C1127" i="13"/>
  <c r="C974" i="13"/>
  <c r="C603" i="13"/>
  <c r="C85" i="13"/>
  <c r="C723" i="13"/>
  <c r="C446" i="13"/>
  <c r="C845" i="13"/>
  <c r="C50" i="13"/>
  <c r="C1627" i="13"/>
  <c r="C15" i="13"/>
  <c r="C580" i="13"/>
  <c r="C585" i="13"/>
  <c r="C1677" i="13"/>
  <c r="C455" i="13"/>
  <c r="C302" i="13"/>
  <c r="C618" i="13"/>
  <c r="C872" i="13"/>
  <c r="C162" i="13"/>
  <c r="C1264" i="13"/>
  <c r="C1336" i="13"/>
  <c r="C1697" i="13"/>
  <c r="C505" i="13"/>
  <c r="C192" i="13"/>
  <c r="C1063" i="13"/>
  <c r="C1222" i="13"/>
  <c r="C321" i="13"/>
  <c r="C1535" i="13"/>
  <c r="C40" i="13"/>
  <c r="C586" i="13"/>
  <c r="C1082" i="13"/>
  <c r="C347" i="13"/>
  <c r="C1546" i="13"/>
  <c r="C1219" i="13"/>
  <c r="C1716" i="13"/>
  <c r="C99" i="13"/>
  <c r="C1511" i="13"/>
  <c r="C776" i="13"/>
  <c r="C1068" i="13"/>
  <c r="C718" i="13"/>
  <c r="C171" i="13"/>
  <c r="C1330" i="13"/>
  <c r="C241" i="13"/>
  <c r="C292" i="13"/>
  <c r="C558" i="13"/>
  <c r="C226" i="13"/>
  <c r="C1018" i="13"/>
  <c r="C1502" i="13"/>
  <c r="C483" i="13"/>
  <c r="C829" i="13"/>
  <c r="C1540" i="13"/>
  <c r="C922" i="13"/>
  <c r="C1356" i="13"/>
  <c r="C1295" i="13"/>
  <c r="C378" i="13"/>
  <c r="C697" i="13"/>
  <c r="C982" i="13"/>
  <c r="C1429" i="13"/>
  <c r="C1617" i="13"/>
  <c r="C546" i="13"/>
  <c r="C1399" i="13"/>
  <c r="C1006" i="13"/>
  <c r="C1533" i="13"/>
  <c r="C746" i="13"/>
  <c r="C615" i="13"/>
  <c r="C773" i="13"/>
  <c r="C1257" i="13"/>
  <c r="C910" i="13"/>
  <c r="C1663" i="13"/>
  <c r="C987" i="13"/>
  <c r="C1498" i="13"/>
  <c r="C223" i="13"/>
  <c r="C756" i="13"/>
  <c r="C1686" i="13"/>
  <c r="C1007" i="13"/>
  <c r="C1315" i="13"/>
  <c r="C48" i="13"/>
  <c r="C887" i="13"/>
  <c r="C971" i="13"/>
  <c r="C949" i="13"/>
  <c r="C510" i="13"/>
  <c r="C287" i="13"/>
  <c r="C858" i="13"/>
  <c r="C1277" i="13"/>
  <c r="C1549" i="13"/>
  <c r="C1415" i="13"/>
  <c r="C668" i="13"/>
  <c r="C1420" i="13"/>
  <c r="C414" i="13"/>
  <c r="C902" i="13"/>
  <c r="C209" i="13"/>
  <c r="C1406" i="13"/>
  <c r="C1134" i="13"/>
  <c r="C884" i="13"/>
  <c r="C190" i="13"/>
  <c r="C225" i="13"/>
  <c r="C404" i="13"/>
  <c r="C1139" i="13"/>
  <c r="C625" i="13"/>
  <c r="C1665" i="13"/>
  <c r="C12" i="13"/>
  <c r="C153" i="13"/>
  <c r="C1136" i="13"/>
  <c r="C1416" i="13"/>
  <c r="C1373" i="13"/>
  <c r="C101" i="13"/>
  <c r="C670" i="13"/>
  <c r="C424" i="13"/>
  <c r="C440" i="13"/>
  <c r="C1569" i="13"/>
  <c r="C265" i="13"/>
  <c r="C722" i="13"/>
  <c r="C1011" i="13"/>
  <c r="C1193" i="13"/>
  <c r="C447" i="13"/>
  <c r="C808" i="13"/>
  <c r="C1463" i="13"/>
  <c r="C475" i="13"/>
  <c r="C597" i="13"/>
  <c r="C607" i="13"/>
  <c r="C1052" i="13"/>
  <c r="C1348" i="13"/>
  <c r="C457" i="13"/>
  <c r="C719" i="13"/>
  <c r="C1237" i="13"/>
  <c r="C1587" i="13"/>
  <c r="C1504" i="13"/>
  <c r="C232" i="13"/>
  <c r="C1404" i="13"/>
  <c r="C348" i="13"/>
  <c r="C351" i="13"/>
  <c r="C1144" i="13"/>
  <c r="C385" i="13"/>
  <c r="C199" i="13"/>
  <c r="C1424" i="13"/>
  <c r="C584" i="13"/>
  <c r="C364" i="13"/>
  <c r="C1203" i="13"/>
  <c r="C807" i="13"/>
  <c r="C328" i="13"/>
  <c r="C1198" i="13"/>
  <c r="C1514" i="13"/>
  <c r="C1578" i="13"/>
  <c r="C363" i="13"/>
  <c r="C1381" i="13"/>
  <c r="C593" i="13"/>
  <c r="C284" i="13"/>
  <c r="C596" i="13"/>
  <c r="C821" i="13"/>
  <c r="C1733" i="13"/>
  <c r="C415" i="13"/>
  <c r="C429" i="13"/>
  <c r="C836" i="13"/>
  <c r="C1735" i="13"/>
  <c r="C411" i="13"/>
  <c r="C1089" i="13"/>
  <c r="C1263" i="13"/>
  <c r="C474" i="13"/>
  <c r="C419" i="13"/>
  <c r="C1069" i="13"/>
  <c r="C326" i="13"/>
  <c r="C619" i="13"/>
  <c r="C647" i="13"/>
  <c r="C997" i="13"/>
  <c r="C533" i="13"/>
  <c r="C1470" i="13"/>
  <c r="C42" i="13"/>
  <c r="C1700" i="13"/>
  <c r="C1232" i="13"/>
  <c r="C640" i="13"/>
  <c r="C253" i="13"/>
  <c r="C420" i="13"/>
  <c r="C501" i="13"/>
  <c r="C1464" i="13"/>
  <c r="C601" i="13"/>
  <c r="C594" i="13"/>
  <c r="C384" i="13"/>
  <c r="C1437" i="13"/>
  <c r="C891" i="13"/>
  <c r="C900" i="13"/>
  <c r="C1675" i="13"/>
  <c r="C659" i="13"/>
  <c r="C67" i="13"/>
  <c r="C164" i="13"/>
  <c r="C1328" i="13"/>
  <c r="C1643" i="13"/>
  <c r="C1720" i="13"/>
  <c r="C135" i="13"/>
  <c r="C856" i="13"/>
  <c r="C1287" i="13"/>
  <c r="C1128" i="13"/>
  <c r="C1477" i="13"/>
  <c r="C1444" i="13"/>
  <c r="C1628" i="13"/>
  <c r="C1130" i="13"/>
  <c r="C1151" i="13"/>
  <c r="C1143" i="13"/>
  <c r="C798" i="13"/>
  <c r="C775" i="13"/>
  <c r="C1186" i="13"/>
  <c r="C380" i="13"/>
  <c r="C793" i="13"/>
  <c r="C1576" i="13"/>
  <c r="C147" i="13"/>
  <c r="C17" i="13"/>
  <c r="C1165" i="13"/>
  <c r="C488" i="13"/>
  <c r="C1454" i="13"/>
  <c r="C365" i="13"/>
  <c r="C63" i="13"/>
  <c r="C1662" i="13"/>
  <c r="C240" i="13"/>
  <c r="C1083" i="13"/>
  <c r="C158" i="13"/>
  <c r="C98" i="13"/>
  <c r="C504" i="13"/>
  <c r="C1197" i="13"/>
  <c r="C694" i="13"/>
  <c r="C4" i="13"/>
  <c r="C1213" i="13"/>
  <c r="C1377" i="13"/>
  <c r="C130" i="13"/>
  <c r="C1332" i="13"/>
  <c r="C921" i="13"/>
  <c r="C297" i="13"/>
  <c r="C868" i="13"/>
  <c r="C657" i="13"/>
  <c r="C1524" i="13"/>
  <c r="C1269" i="13"/>
  <c r="C6" i="13"/>
  <c r="C1421" i="13"/>
  <c r="C1369" i="13"/>
  <c r="C1210" i="13"/>
  <c r="C1208" i="13"/>
  <c r="C950" i="13"/>
  <c r="C250" i="13"/>
  <c r="C1034" i="13"/>
  <c r="C1102" i="13"/>
  <c r="C1501" i="13"/>
  <c r="C1688" i="13"/>
  <c r="C268" i="13"/>
  <c r="C907" i="13"/>
  <c r="C621" i="13"/>
  <c r="C431" i="13"/>
  <c r="C83" i="13"/>
  <c r="C1707" i="13"/>
  <c r="C1033" i="13"/>
  <c r="C1323" i="13"/>
  <c r="C1335" i="13"/>
  <c r="C889" i="13"/>
  <c r="C400" i="13"/>
  <c r="C941" i="13"/>
  <c r="C1341" i="13"/>
  <c r="C605" i="13"/>
  <c r="C1320" i="13"/>
  <c r="C575" i="13"/>
  <c r="C523" i="13"/>
  <c r="C917" i="13"/>
  <c r="C1171" i="13"/>
  <c r="C1583" i="13"/>
  <c r="C677" i="13"/>
  <c r="C32" i="13"/>
  <c r="C581" i="13"/>
  <c r="C116" i="13"/>
  <c r="C1299" i="13"/>
  <c r="C1162" i="13"/>
  <c r="C963" i="13"/>
  <c r="C1482" i="13"/>
  <c r="C731" i="13"/>
  <c r="C654" i="13"/>
  <c r="C914" i="13"/>
  <c r="C1472" i="13"/>
  <c r="C1630" i="13"/>
  <c r="C1490" i="13"/>
  <c r="C681" i="13"/>
  <c r="C1674" i="13"/>
  <c r="C222" i="13"/>
  <c r="C1417" i="13"/>
  <c r="C969" i="13"/>
  <c r="C1527" i="13"/>
  <c r="C992" i="13"/>
  <c r="C1012" i="13"/>
  <c r="C707" i="13"/>
  <c r="C765" i="13"/>
  <c r="C1380" i="13"/>
  <c r="C931" i="13"/>
  <c r="C1049" i="13"/>
  <c r="C732" i="13"/>
  <c r="C885" i="13"/>
  <c r="C1610" i="13"/>
  <c r="C266" i="13"/>
  <c r="C1225" i="13"/>
  <c r="C376" i="13"/>
  <c r="C1736" i="13"/>
  <c r="C939" i="13"/>
  <c r="C1592" i="13"/>
  <c r="C304" i="13"/>
  <c r="C93" i="13"/>
  <c r="C503" i="13"/>
  <c r="C95" i="13"/>
  <c r="C14" i="13"/>
  <c r="C721" i="13"/>
  <c r="C398" i="13"/>
  <c r="C1188" i="13"/>
  <c r="C263" i="13"/>
  <c r="C1623" i="13"/>
  <c r="C1580" i="13"/>
  <c r="C656" i="13"/>
  <c r="C167" i="13"/>
  <c r="C100" i="13"/>
  <c r="C1715" i="13"/>
  <c r="C9" i="13"/>
  <c r="C1010" i="13"/>
  <c r="C498" i="13"/>
  <c r="C870" i="13"/>
  <c r="C1654" i="13"/>
  <c r="C570" i="13"/>
  <c r="C762" i="13"/>
  <c r="C713" i="13"/>
  <c r="C573" i="13"/>
  <c r="C373" i="13"/>
  <c r="C604" i="13"/>
  <c r="C1313" i="13"/>
  <c r="C524" i="13"/>
  <c r="C790" i="13"/>
  <c r="C215" i="13"/>
  <c r="C592" i="13"/>
  <c r="C1414" i="13"/>
  <c r="C1120" i="13"/>
  <c r="C439" i="13"/>
  <c r="C1460" i="13"/>
  <c r="C248" i="13"/>
  <c r="C545" i="13"/>
  <c r="C1513" i="13"/>
  <c r="C814" i="13"/>
  <c r="C37" i="13"/>
  <c r="C538" i="13"/>
  <c r="C1671" i="13"/>
  <c r="C578" i="13"/>
  <c r="C1412" i="13"/>
  <c r="C1053" i="13"/>
  <c r="C1021" i="13"/>
  <c r="C357" i="13"/>
  <c r="C1159" i="13"/>
  <c r="C1107" i="13"/>
  <c r="C623" i="13"/>
  <c r="C107" i="13"/>
  <c r="C1367" i="13"/>
  <c r="C609" i="13"/>
  <c r="C957" i="13"/>
  <c r="C261" i="13"/>
  <c r="C1347" i="13"/>
  <c r="C1238" i="13"/>
  <c r="C1729" i="13"/>
  <c r="C183" i="13"/>
  <c r="C1090" i="13"/>
  <c r="C113" i="13"/>
  <c r="C544" i="13"/>
  <c r="C402" i="13"/>
  <c r="C339" i="13"/>
  <c r="C1506" i="13"/>
  <c r="C1338" i="13"/>
  <c r="C1539" i="13"/>
  <c r="C1275" i="13"/>
  <c r="C1656" i="13"/>
  <c r="C1554" i="13"/>
  <c r="C1600" i="13"/>
  <c r="C1091" i="13"/>
  <c r="C157" i="13"/>
  <c r="C358" i="13"/>
  <c r="C1734" i="13"/>
  <c r="C73" i="13"/>
  <c r="C1337" i="13"/>
  <c r="C588" i="13"/>
  <c r="C859" i="13"/>
  <c r="C216" i="13"/>
  <c r="C777" i="13"/>
  <c r="C1065" i="13"/>
  <c r="C324" i="13"/>
  <c r="C562" i="13"/>
  <c r="C301" i="13"/>
  <c r="C536" i="13"/>
  <c r="C1604" i="13"/>
  <c r="C25" i="13"/>
  <c r="C1403" i="13"/>
  <c r="C1194" i="13"/>
  <c r="C704" i="13"/>
  <c r="C820" i="13"/>
  <c r="C909" i="13"/>
  <c r="C18" i="13"/>
  <c r="C904" i="13"/>
  <c r="C1629" i="13"/>
  <c r="C273" i="13"/>
  <c r="C1311" i="13"/>
  <c r="C1719" i="13"/>
  <c r="C1304" i="13"/>
  <c r="C1519" i="13"/>
  <c r="C542" i="13"/>
  <c r="C613" i="13"/>
  <c r="C946" i="13"/>
  <c r="C353" i="13"/>
  <c r="C228" i="13"/>
  <c r="C993" i="13"/>
  <c r="C1173" i="13"/>
  <c r="C31" i="13"/>
  <c r="C800" i="13"/>
  <c r="C405" i="13"/>
  <c r="C1140" i="13"/>
  <c r="C727" i="13"/>
  <c r="C1494" i="13"/>
  <c r="C412" i="13"/>
  <c r="C1217" i="13"/>
  <c r="C155" i="13"/>
  <c r="C151" i="13"/>
  <c r="C491" i="13"/>
  <c r="C1702" i="13"/>
  <c r="C583" i="13"/>
  <c r="C1045" i="13"/>
  <c r="C701" i="13"/>
  <c r="C269" i="13"/>
  <c r="C271" i="13"/>
  <c r="C482" i="13"/>
  <c r="C1584" i="13"/>
  <c r="C267" i="13"/>
  <c r="C1622" i="13"/>
  <c r="C210" i="13"/>
  <c r="C359" i="13"/>
  <c r="C154" i="13"/>
  <c r="C753" i="13"/>
  <c r="C525" i="13"/>
  <c r="C1593" i="13"/>
  <c r="C1325" i="13"/>
  <c r="C1488" i="13"/>
  <c r="C556" i="13"/>
  <c r="C379" i="13"/>
  <c r="C486" i="13"/>
  <c r="C768" i="13"/>
  <c r="C185" i="13"/>
  <c r="C1288" i="13"/>
  <c r="C944" i="13"/>
  <c r="C449" i="13"/>
  <c r="C964" i="13"/>
  <c r="C456" i="13"/>
  <c r="C509" i="13"/>
  <c r="C480" i="13"/>
  <c r="C653" i="13"/>
  <c r="C916" i="13"/>
  <c r="C279" i="13"/>
  <c r="C744" i="13"/>
  <c r="C288" i="13"/>
  <c r="C1141" i="13"/>
  <c r="C555" i="13"/>
  <c r="C801" i="13"/>
  <c r="C685" i="13"/>
  <c r="C1724" i="13"/>
  <c r="C391" i="13"/>
  <c r="C896" i="13"/>
  <c r="C477" i="13"/>
  <c r="C434" i="13"/>
  <c r="C212" i="13"/>
  <c r="C451" i="13"/>
  <c r="C1003" i="13"/>
  <c r="C1124" i="13"/>
  <c r="C686" i="13"/>
  <c r="C650" i="13"/>
  <c r="C233" i="13"/>
  <c r="C1185" i="13"/>
  <c r="C1101" i="13"/>
  <c r="C1386" i="13"/>
  <c r="C41" i="13"/>
  <c r="C1046" i="13"/>
  <c r="C606" i="13"/>
  <c r="C709" i="13"/>
  <c r="C591" i="13"/>
  <c r="C1725" i="13"/>
  <c r="C338" i="13"/>
  <c r="C227" i="13"/>
  <c r="C1361" i="13"/>
  <c r="C1374" i="13"/>
  <c r="C246" i="13"/>
  <c r="C296" i="13"/>
  <c r="C1509" i="13"/>
  <c r="C1685" i="13"/>
  <c r="C1105" i="13"/>
  <c r="C230" i="13"/>
  <c r="C202" i="13"/>
  <c r="C1240" i="13"/>
  <c r="C848" i="13"/>
  <c r="C1690" i="13"/>
  <c r="C1545" i="13"/>
  <c r="C262" i="13"/>
  <c r="C561" i="13"/>
  <c r="C774" i="13"/>
  <c r="C880" i="13"/>
  <c r="C1585" i="13"/>
  <c r="C1267" i="13"/>
  <c r="C244" i="13"/>
  <c r="C289" i="13"/>
  <c r="C1051" i="13"/>
  <c r="C792" i="13"/>
  <c r="C27" i="13"/>
  <c r="C1550" i="13"/>
  <c r="C779" i="13"/>
  <c r="C874" i="13"/>
  <c r="C444" i="13"/>
  <c r="C569" i="13"/>
  <c r="C208" i="13"/>
  <c r="C735" i="13"/>
  <c r="C784" i="13"/>
  <c r="C458" i="13"/>
  <c r="C840" i="13"/>
  <c r="C1601" i="13"/>
  <c r="C833" i="13"/>
  <c r="C403" i="13"/>
  <c r="C1391" i="13"/>
  <c r="C1170" i="13"/>
  <c r="C1398" i="13"/>
  <c r="C1283" i="13"/>
  <c r="C641" i="13"/>
  <c r="C634" i="13"/>
  <c r="C566" i="13"/>
  <c r="C283" i="13"/>
  <c r="C1307" i="13"/>
  <c r="C172" i="13"/>
  <c r="C695" i="13"/>
  <c r="C1699" i="13"/>
  <c r="C1648" i="13"/>
  <c r="C1370" i="13"/>
  <c r="C143" i="13"/>
  <c r="C568" i="13"/>
  <c r="C831" i="13"/>
  <c r="C200" i="13"/>
  <c r="C1079" i="13"/>
  <c r="C327" i="13"/>
  <c r="C1024" i="13"/>
  <c r="C822" i="13"/>
  <c r="C838" i="13"/>
  <c r="C633" i="13"/>
  <c r="C146" i="13"/>
  <c r="C1447" i="13"/>
  <c r="C1657" i="13"/>
  <c r="C1505" i="13"/>
  <c r="C1233" i="13"/>
  <c r="C861" i="13"/>
  <c r="C1153" i="13"/>
  <c r="C410" i="13"/>
  <c r="C1312" i="13"/>
  <c r="C1508" i="13"/>
  <c r="C311" i="13"/>
  <c r="C430" i="13"/>
  <c r="C673" i="13"/>
  <c r="C1559" i="13"/>
  <c r="C1673" i="13"/>
  <c r="C1491" i="13"/>
  <c r="C614" i="13"/>
  <c r="C1078" i="13"/>
  <c r="C169" i="13"/>
  <c r="C871" i="13"/>
  <c r="C1168" i="13"/>
  <c r="C1066" i="13"/>
  <c r="C637" i="13"/>
  <c r="C229" i="13"/>
  <c r="C754" i="13"/>
  <c r="C1270" i="13"/>
  <c r="C676" i="13"/>
  <c r="C235" i="13"/>
  <c r="C627" i="13"/>
  <c r="C1214" i="13"/>
  <c r="C492" i="13"/>
  <c r="C1001" i="13"/>
  <c r="C87" i="13"/>
  <c r="C251" i="13"/>
  <c r="C905" i="13"/>
  <c r="C1351" i="13"/>
  <c r="C188" i="13"/>
  <c r="C1633" i="13"/>
  <c r="C1077" i="13"/>
  <c r="C1317" i="13"/>
  <c r="C782" i="13"/>
  <c r="C124" i="13"/>
  <c r="C1400" i="13"/>
  <c r="C743" i="13"/>
  <c r="C1383" i="13"/>
  <c r="C1515" i="13"/>
  <c r="C620" i="13"/>
  <c r="C611" i="13"/>
  <c r="C1013" i="13"/>
  <c r="C1096" i="13"/>
  <c r="C990" i="13"/>
  <c r="C1142" i="13"/>
  <c r="C579" i="13"/>
  <c r="C1512" i="13"/>
  <c r="C1526" i="13"/>
  <c r="C1292" i="13"/>
  <c r="C1187" i="13"/>
  <c r="C626" i="13"/>
  <c r="C270" i="13"/>
  <c r="C662" i="13"/>
  <c r="C1146" i="13"/>
  <c r="C174" i="13"/>
  <c r="C865" i="13"/>
  <c r="C133" i="13"/>
  <c r="C1276" i="13"/>
  <c r="C658" i="13"/>
  <c r="C1507" i="13"/>
  <c r="C102" i="13"/>
  <c r="C1281" i="13"/>
  <c r="C696" i="13"/>
  <c r="C805" i="13"/>
  <c r="C1430" i="13"/>
  <c r="C687" i="13"/>
  <c r="C141" i="13"/>
  <c r="C645" i="13"/>
  <c r="C632" i="13"/>
  <c r="C127" i="13"/>
  <c r="C1409" i="13"/>
  <c r="C1305" i="13"/>
  <c r="C1589" i="13"/>
  <c r="C1147" i="13"/>
  <c r="C712" i="13"/>
  <c r="C1375" i="13"/>
  <c r="C7" i="13"/>
  <c r="C1385" i="13"/>
  <c r="C624" i="13"/>
  <c r="C1254" i="13"/>
  <c r="C274" i="13"/>
  <c r="C1649" i="13"/>
  <c r="C572" i="13"/>
  <c r="C1431" i="13"/>
  <c r="C961" i="13"/>
  <c r="C1132" i="13"/>
  <c r="C231" i="13"/>
  <c r="C407" i="13"/>
  <c r="C427" i="13"/>
  <c r="C892" i="13"/>
  <c r="C842" i="13"/>
  <c r="C1543" i="13"/>
  <c r="C500" i="13"/>
  <c r="C1692" i="13"/>
  <c r="C1030" i="13"/>
  <c r="C508" i="13"/>
  <c r="C1070" i="13"/>
  <c r="C277" i="13"/>
  <c r="C62" i="13"/>
  <c r="C708" i="13"/>
  <c r="C1478" i="13"/>
  <c r="C1273" i="13"/>
  <c r="C806" i="13"/>
  <c r="C28" i="13"/>
  <c r="C1710" i="13"/>
  <c r="C1624" i="13"/>
  <c r="C835" i="13"/>
  <c r="C497" i="13"/>
  <c r="C693" i="13"/>
  <c r="C275" i="13"/>
  <c r="C873" i="13"/>
  <c r="C867" i="13"/>
  <c r="C1362" i="13"/>
  <c r="C506" i="13"/>
  <c r="C1016" i="13"/>
  <c r="C1239" i="13"/>
  <c r="C1568" i="13"/>
  <c r="C745" i="13"/>
  <c r="C406" i="13"/>
  <c r="C72" i="13"/>
  <c r="C934" i="13"/>
  <c r="C1357" i="13"/>
  <c r="C543" i="13"/>
  <c r="C221" i="13"/>
  <c r="C1394" i="13"/>
  <c r="C1492" i="13"/>
  <c r="C791" i="13"/>
  <c r="C688" i="13"/>
  <c r="C111" i="13"/>
  <c r="C1284" i="13"/>
  <c r="C1145" i="13"/>
  <c r="C930" i="13"/>
  <c r="C1497" i="13"/>
  <c r="C947" i="13"/>
  <c r="C1268" i="13"/>
  <c r="C281" i="13"/>
  <c r="C951" i="13"/>
  <c r="C120" i="13"/>
  <c r="C1695" i="13"/>
  <c r="C426" i="13"/>
  <c r="C995" i="13"/>
  <c r="C441" i="13"/>
  <c r="C425" i="13"/>
  <c r="C849" i="13"/>
  <c r="C26" i="13"/>
  <c r="C622" i="13"/>
  <c r="C1631" i="13"/>
  <c r="C759" i="13"/>
  <c r="C1727" i="13"/>
  <c r="C803" i="13"/>
  <c r="C1271" i="13"/>
  <c r="C919" i="13"/>
  <c r="C61" i="13"/>
  <c r="C1541" i="13"/>
  <c r="C1371" i="13"/>
  <c r="C10" i="13"/>
  <c r="C11" i="13"/>
  <c r="C1368" i="13"/>
  <c r="C787" i="13"/>
  <c r="C1484" i="13"/>
  <c r="C864" i="13"/>
  <c r="C1448" i="13"/>
  <c r="C318" i="13"/>
  <c r="C1659" i="13"/>
  <c r="C1439" i="13"/>
  <c r="C413" i="13"/>
  <c r="C1538" i="13"/>
  <c r="C1218" i="13"/>
  <c r="C323" i="13"/>
  <c r="C877" i="13"/>
  <c r="C1510" i="13"/>
  <c r="C79" i="13"/>
  <c r="C168" i="13"/>
  <c r="C1728" i="13"/>
  <c r="C846" i="13"/>
  <c r="C1708" i="13"/>
  <c r="C294" i="13"/>
  <c r="C1133" i="13"/>
  <c r="C1157" i="13"/>
  <c r="C70" i="13"/>
  <c r="C890" i="13"/>
  <c r="C278" i="13"/>
  <c r="C1570" i="13"/>
  <c r="C752" i="13"/>
  <c r="C300" i="13"/>
  <c r="C1247" i="13"/>
  <c r="C984" i="13"/>
  <c r="C1693" i="13"/>
  <c r="C1181" i="13"/>
  <c r="C764" i="13"/>
  <c r="C514" i="13"/>
  <c r="C1436" i="13"/>
  <c r="C652" i="13"/>
  <c r="C1206" i="13"/>
  <c r="C461" i="13"/>
  <c r="C1706" i="13"/>
  <c r="C499" i="13"/>
  <c r="C918" i="13"/>
  <c r="C125" i="13"/>
  <c r="C1446" i="13"/>
  <c r="C1084" i="13"/>
  <c r="C1250" i="13"/>
  <c r="C481" i="13"/>
  <c r="C1125" i="13"/>
  <c r="C1462" i="13"/>
  <c r="C1294" i="13"/>
  <c r="C332" i="13"/>
  <c r="C517" i="13"/>
  <c r="C978" i="13"/>
  <c r="C1062" i="13"/>
  <c r="C1455" i="13"/>
  <c r="C1723" i="13"/>
  <c r="C468" i="13"/>
  <c r="C152" i="13"/>
  <c r="C1714" i="13"/>
  <c r="C201" i="13"/>
  <c r="C663" i="13"/>
  <c r="C56" i="13"/>
  <c r="C1301" i="13"/>
  <c r="C689" i="13"/>
  <c r="C121" i="13"/>
  <c r="C757" i="13"/>
  <c r="C876" i="13"/>
  <c r="C136" i="13"/>
  <c r="C1122" i="13"/>
  <c r="C898" i="13"/>
  <c r="C236" i="13"/>
  <c r="C1435" i="13"/>
  <c r="C33" i="13"/>
  <c r="C789" i="13"/>
  <c r="C1259" i="13"/>
  <c r="C1346" i="13"/>
  <c r="C299" i="13"/>
  <c r="C131" i="13"/>
  <c r="C1411" i="13"/>
  <c r="C675" i="13"/>
  <c r="C1365" i="13"/>
  <c r="C1566" i="13"/>
  <c r="C936" i="13"/>
  <c r="C1645" i="13"/>
  <c r="C21" i="13"/>
  <c r="C1280" i="13"/>
  <c r="C390" i="13"/>
  <c r="C938" i="13"/>
  <c r="C396" i="13"/>
  <c r="C1358" i="13"/>
  <c r="C487" i="13"/>
  <c r="C747" i="13"/>
  <c r="C129" i="13"/>
  <c r="C610" i="13"/>
  <c r="C1032" i="13"/>
  <c r="C554" i="13"/>
  <c r="C1442" i="13"/>
  <c r="C826" i="13"/>
  <c r="C118" i="13"/>
  <c r="C976" i="13"/>
  <c r="C529" i="13"/>
  <c r="C1234" i="13"/>
  <c r="C377" i="13"/>
  <c r="C1410" i="13"/>
  <c r="C1581" i="13"/>
  <c r="C1290" i="13"/>
  <c r="C1712" i="13"/>
  <c r="C1422" i="13"/>
  <c r="C1057" i="13"/>
  <c r="C1392" i="13"/>
  <c r="C1721" i="13"/>
  <c r="C75" i="13"/>
  <c r="C1646" i="13"/>
  <c r="C366" i="13"/>
  <c r="C238" i="13"/>
  <c r="C453" i="13"/>
  <c r="C1489" i="13"/>
  <c r="C519" i="13"/>
  <c r="C255" i="13"/>
  <c r="C1297" i="13"/>
  <c r="C1615" i="13"/>
  <c r="C669" i="13"/>
  <c r="C755" i="13"/>
  <c r="C1029" i="13"/>
  <c r="C452" i="13"/>
  <c r="C1031" i="13"/>
  <c r="C1405" i="13"/>
  <c r="C1516" i="13"/>
  <c r="C532" i="13"/>
  <c r="C88" i="13"/>
  <c r="C818" i="13"/>
  <c r="C252" i="13"/>
  <c r="C421" i="13"/>
  <c r="C1169" i="13"/>
  <c r="C1536" i="13"/>
  <c r="C1620" i="13"/>
  <c r="C875" i="13"/>
  <c r="C740" i="13"/>
  <c r="C537" i="13"/>
  <c r="C245" i="13"/>
  <c r="C463" i="13"/>
  <c r="C150" i="13"/>
  <c r="C649" i="13"/>
  <c r="C45" i="13"/>
  <c r="C1067" i="13"/>
  <c r="C1452" i="13"/>
  <c r="C1453" i="13"/>
  <c r="C1353" i="13"/>
  <c r="C1563" i="13"/>
  <c r="C825" i="13"/>
  <c r="C1626" i="13"/>
  <c r="C494" i="13"/>
  <c r="C1396" i="13"/>
  <c r="C489" i="13"/>
  <c r="C370" i="13"/>
  <c r="C71" i="13"/>
  <c r="C35" i="13"/>
  <c r="C751" i="13"/>
  <c r="C1014" i="13"/>
  <c r="C22" i="13"/>
  <c r="C445" i="13"/>
  <c r="C1285" i="13"/>
  <c r="C899" i="13"/>
  <c r="C1557" i="13"/>
  <c r="C1302" i="13"/>
  <c r="C1669" i="13"/>
  <c r="C1195" i="13"/>
  <c r="C1528" i="13"/>
  <c r="C1366" i="13"/>
  <c r="C1026" i="13"/>
  <c r="C1099" i="13"/>
  <c r="C711" i="13"/>
  <c r="C322" i="13"/>
  <c r="C1190" i="13"/>
  <c r="C336" i="13"/>
  <c r="C1531" i="13"/>
  <c r="C310" i="13"/>
  <c r="C305" i="13"/>
  <c r="C345" i="13"/>
  <c r="C1119" i="13"/>
  <c r="C1354" i="13"/>
  <c r="C214" i="13"/>
  <c r="C1349" i="13"/>
  <c r="C331" i="13"/>
  <c r="C1005" i="13"/>
  <c r="C966" i="13"/>
  <c r="C1467" i="13"/>
  <c r="C799" i="13"/>
  <c r="D23" i="37"/>
  <c r="E23" i="37" s="1"/>
  <c r="L76" i="38"/>
  <c r="C552" i="13"/>
  <c r="C1272" i="13"/>
  <c r="C139" i="13"/>
  <c r="E94" i="1"/>
  <c r="J79" i="13"/>
  <c r="D34" i="37"/>
  <c r="E34" i="37" s="1"/>
  <c r="L58" i="13"/>
  <c r="L86" i="38"/>
  <c r="D803" i="13" s="1"/>
  <c r="C674" i="13"/>
  <c r="F29" i="10"/>
  <c r="C1680" i="13"/>
  <c r="E93" i="1"/>
  <c r="J78" i="13"/>
  <c r="L59" i="13"/>
  <c r="D33" i="37"/>
  <c r="E33" i="37" s="1"/>
  <c r="L57" i="13"/>
  <c r="L85" i="38"/>
  <c r="D723" i="13" s="1"/>
  <c r="C291" i="13"/>
  <c r="C854" i="13"/>
  <c r="C6" i="11"/>
  <c r="C22" i="11"/>
  <c r="L74" i="38"/>
  <c r="C349" i="13" s="1"/>
  <c r="D21" i="37"/>
  <c r="E21" i="37" s="1"/>
  <c r="J57" i="13"/>
  <c r="C1112" i="13"/>
  <c r="C1438" i="13"/>
  <c r="D529" i="13"/>
  <c r="D424" i="13"/>
  <c r="D231" i="13"/>
  <c r="D850" i="13"/>
  <c r="D570" i="13"/>
  <c r="D791" i="13"/>
  <c r="D1207" i="13"/>
  <c r="D538" i="13"/>
  <c r="D826" i="13"/>
  <c r="D876" i="13"/>
  <c r="D701" i="13"/>
  <c r="D929" i="13"/>
  <c r="D1282" i="13"/>
  <c r="D40" i="13"/>
  <c r="D394" i="13"/>
  <c r="D1613" i="13"/>
  <c r="D5" i="13"/>
  <c r="D1303" i="13"/>
  <c r="D1357" i="13"/>
  <c r="D592" i="13"/>
  <c r="D979" i="13"/>
  <c r="D359" i="13"/>
  <c r="D59" i="13"/>
  <c r="D716" i="13"/>
  <c r="D1718" i="13"/>
  <c r="D1124" i="13"/>
  <c r="D1097" i="13"/>
  <c r="D1277" i="13"/>
  <c r="D1230" i="13"/>
  <c r="D1378" i="13"/>
  <c r="D1721" i="13"/>
  <c r="D157" i="13"/>
  <c r="D1475" i="13"/>
  <c r="D1734" i="13"/>
  <c r="D1205" i="13"/>
  <c r="D884" i="13"/>
  <c r="D99" i="13"/>
  <c r="D849" i="13"/>
  <c r="D168" i="13"/>
  <c r="D1605" i="13"/>
  <c r="D125" i="13"/>
  <c r="D1321" i="13"/>
  <c r="D1098" i="13"/>
  <c r="D1700" i="13"/>
  <c r="D847" i="13"/>
  <c r="D1286" i="13"/>
  <c r="D810" i="13"/>
  <c r="D498" i="13"/>
  <c r="D416" i="13"/>
  <c r="D1430" i="13"/>
  <c r="D1506" i="13"/>
  <c r="D1263" i="13"/>
  <c r="D787" i="13"/>
  <c r="D238" i="13"/>
  <c r="D1469" i="13"/>
  <c r="D1640" i="13"/>
  <c r="D784" i="13"/>
  <c r="D189" i="13"/>
  <c r="D799" i="13"/>
  <c r="D937" i="13"/>
  <c r="D940" i="13"/>
  <c r="D516" i="13"/>
  <c r="D633" i="13"/>
  <c r="D855" i="13"/>
  <c r="D1167" i="13"/>
  <c r="D1691" i="13"/>
  <c r="D1011" i="13"/>
  <c r="D1114" i="13"/>
  <c r="D1122" i="13"/>
  <c r="D1185" i="13"/>
  <c r="D481" i="13"/>
  <c r="D1340" i="13"/>
  <c r="D1714" i="13"/>
  <c r="D635" i="13"/>
  <c r="D1298" i="13"/>
  <c r="D1719" i="13"/>
  <c r="D255" i="13"/>
  <c r="D130" i="13"/>
  <c r="D622" i="13"/>
  <c r="D1656" i="13"/>
  <c r="D459" i="13"/>
  <c r="D1703" i="13"/>
  <c r="D167" i="13"/>
  <c r="D1638" i="13"/>
  <c r="D399" i="13"/>
  <c r="D1173" i="13"/>
  <c r="D1330" i="13"/>
  <c r="D425" i="13"/>
  <c r="D924" i="13"/>
  <c r="D1367" i="13"/>
  <c r="D773" i="13"/>
  <c r="D1387" i="13"/>
  <c r="D1373" i="13"/>
  <c r="D889" i="13"/>
  <c r="D80" i="13"/>
  <c r="D381" i="13"/>
  <c r="D391" i="13"/>
  <c r="D1675" i="13"/>
  <c r="D142" i="13"/>
  <c r="D331" i="13"/>
  <c r="D549" i="13"/>
  <c r="D1198" i="13"/>
  <c r="D970" i="13"/>
  <c r="D750" i="13"/>
  <c r="D792" i="13"/>
  <c r="D113" i="13"/>
  <c r="D752" i="13"/>
  <c r="D746" i="13"/>
  <c r="D1394" i="13"/>
  <c r="D286" i="13"/>
  <c r="D1435" i="13"/>
  <c r="D418" i="13"/>
  <c r="D1034" i="13"/>
  <c r="D1019" i="13"/>
  <c r="D1037" i="13"/>
  <c r="D1622" i="13"/>
  <c r="D720" i="13"/>
  <c r="D1470" i="13"/>
  <c r="D324" i="13"/>
  <c r="D52" i="13"/>
  <c r="D1685" i="13"/>
  <c r="D415" i="13"/>
  <c r="D1668" i="13"/>
  <c r="D1041" i="13"/>
  <c r="D1544" i="13"/>
  <c r="D890" i="13"/>
  <c r="D270" i="13"/>
  <c r="D241" i="13"/>
  <c r="D1561" i="13"/>
  <c r="D400" i="13"/>
  <c r="D112" i="13"/>
  <c r="D1680" i="13"/>
  <c r="D1095" i="13"/>
  <c r="D565" i="13"/>
  <c r="D1420" i="13"/>
  <c r="D203" i="13"/>
  <c r="D1090" i="13"/>
  <c r="D1084" i="13"/>
  <c r="D833" i="13"/>
  <c r="D698" i="13"/>
  <c r="D650" i="13"/>
  <c r="D1571" i="13"/>
  <c r="D684" i="13"/>
  <c r="D910" i="13"/>
  <c r="D1628" i="13"/>
  <c r="D817" i="13"/>
  <c r="D1426" i="13"/>
  <c r="D1450" i="13"/>
  <c r="D1411" i="13"/>
  <c r="D239" i="13"/>
  <c r="D1371" i="13"/>
  <c r="D1410" i="13"/>
  <c r="D1218" i="13"/>
  <c r="D1078" i="13"/>
  <c r="D173" i="13"/>
  <c r="D1736" i="13"/>
  <c r="D868" i="13"/>
  <c r="D316" i="13"/>
  <c r="D996" i="13"/>
  <c r="D292" i="13"/>
  <c r="D728" i="13"/>
  <c r="D652" i="13"/>
  <c r="D1441" i="13"/>
  <c r="D1495" i="13"/>
  <c r="D1727" i="13"/>
  <c r="D1154" i="13"/>
  <c r="D1289" i="13"/>
  <c r="D1290" i="13"/>
  <c r="D1140" i="13"/>
  <c r="D977" i="13"/>
  <c r="D1560" i="13"/>
  <c r="D49" i="13"/>
  <c r="D1728" i="13"/>
  <c r="D319" i="13"/>
  <c r="D88" i="13"/>
  <c r="D1713" i="13"/>
  <c r="D1588" i="13"/>
  <c r="D520" i="13"/>
  <c r="D616" i="13"/>
  <c r="D953" i="13"/>
  <c r="D468" i="13"/>
  <c r="D193" i="13"/>
  <c r="D374" i="13"/>
  <c r="D186" i="13"/>
  <c r="D76" i="13"/>
  <c r="D229" i="13"/>
  <c r="D1537" i="13"/>
  <c r="D744" i="13"/>
  <c r="D224" i="13"/>
  <c r="D1547" i="13"/>
  <c r="D1502" i="13"/>
  <c r="D1039" i="13"/>
  <c r="D1422" i="13"/>
  <c r="D1597" i="13"/>
  <c r="D818" i="13"/>
  <c r="D828" i="13"/>
  <c r="D1733" i="13"/>
  <c r="D11" i="13"/>
  <c r="D35" i="13"/>
  <c r="D1311" i="13"/>
  <c r="D607" i="13"/>
  <c r="D552" i="13"/>
  <c r="D1096" i="13"/>
  <c r="D1348" i="13"/>
  <c r="D901" i="13"/>
  <c r="D1652" i="13"/>
  <c r="D1514" i="13"/>
  <c r="D922" i="13"/>
  <c r="D1061" i="13"/>
  <c r="D37" i="13"/>
  <c r="D532" i="13"/>
  <c r="D1627" i="13"/>
  <c r="D13" i="13"/>
  <c r="D1058" i="13"/>
  <c r="D389" i="13"/>
  <c r="D821" i="13"/>
  <c r="D1699" i="13"/>
  <c r="D991" i="13"/>
  <c r="D1711" i="13"/>
  <c r="D1116" i="13"/>
  <c r="D660" i="13"/>
  <c r="D1191" i="13"/>
  <c r="D225" i="13"/>
  <c r="D144" i="13"/>
  <c r="D177" i="13"/>
  <c r="D1172" i="13"/>
  <c r="D1684" i="13"/>
  <c r="D1486" i="13"/>
  <c r="D909" i="13"/>
  <c r="D1007" i="13"/>
  <c r="D1608" i="13"/>
  <c r="D696" i="13"/>
  <c r="D1079" i="13"/>
  <c r="D1002" i="13"/>
  <c r="D630" i="13"/>
  <c r="D1643" i="13"/>
  <c r="D1189" i="13"/>
  <c r="D559" i="13"/>
  <c r="D1644" i="13"/>
  <c r="D595" i="13"/>
  <c r="D105" i="13"/>
  <c r="D1228" i="13"/>
  <c r="D446" i="13"/>
  <c r="D145" i="13"/>
  <c r="D1267" i="13"/>
  <c r="D737" i="13"/>
  <c r="D742" i="13"/>
  <c r="D1128" i="13"/>
  <c r="D1238" i="13"/>
  <c r="D1274" i="13"/>
  <c r="D541" i="13"/>
  <c r="D982" i="13"/>
  <c r="D1076" i="13"/>
  <c r="D1071" i="13"/>
  <c r="D885" i="13"/>
  <c r="D631" i="13"/>
  <c r="D553" i="13"/>
  <c r="D1028" i="13"/>
  <c r="D1126" i="13"/>
  <c r="D1570" i="13"/>
  <c r="D535" i="13"/>
  <c r="D1281" i="13"/>
  <c r="D705" i="13"/>
  <c r="D345" i="13"/>
  <c r="D513" i="13"/>
  <c r="D1107" i="13"/>
  <c r="D1717" i="13"/>
  <c r="D349" i="13"/>
  <c r="D50" i="13"/>
  <c r="D1302" i="13"/>
  <c r="D806" i="13"/>
  <c r="D1600" i="13"/>
  <c r="D493" i="13"/>
  <c r="D1631" i="13"/>
  <c r="D972" i="13"/>
  <c r="D1225" i="13"/>
  <c r="D1481" i="13"/>
  <c r="D106" i="13"/>
  <c r="D1712" i="13"/>
  <c r="D1504" i="13"/>
  <c r="D379" i="13"/>
  <c r="D1305" i="13"/>
  <c r="D886" i="13"/>
  <c r="D793" i="13"/>
  <c r="D781" i="13"/>
  <c r="D267" i="13"/>
  <c r="D283" i="13"/>
  <c r="D1635" i="13"/>
  <c r="D235" i="13"/>
  <c r="D441" i="13"/>
  <c r="D1671" i="13"/>
  <c r="D533" i="13"/>
  <c r="D469" i="13"/>
  <c r="D667" i="13"/>
  <c r="D97" i="13"/>
  <c r="D395" i="13"/>
  <c r="D451" i="13"/>
  <c r="D556" i="13"/>
  <c r="D293" i="13"/>
  <c r="D1244" i="13"/>
  <c r="D1587" i="13"/>
  <c r="D1565" i="13"/>
  <c r="D1222" i="13"/>
  <c r="D460" i="13"/>
  <c r="D568" i="13"/>
  <c r="D839" i="13"/>
  <c r="D1463" i="13"/>
  <c r="D30" i="13"/>
  <c r="D1376" i="13"/>
  <c r="D226" i="13"/>
  <c r="D1051" i="13"/>
  <c r="D1661" i="13"/>
  <c r="D911" i="13"/>
  <c r="D647" i="13"/>
  <c r="D756" i="13"/>
  <c r="D338" i="13"/>
  <c r="D771" i="13"/>
  <c r="D1080" i="13"/>
  <c r="D1117" i="13"/>
  <c r="D247" i="13"/>
  <c r="D596" i="13"/>
  <c r="D1480" i="13"/>
  <c r="D614" i="13"/>
  <c r="D494" i="13"/>
  <c r="D1294" i="13"/>
  <c r="D1425" i="13"/>
  <c r="D120" i="13"/>
  <c r="D925" i="13"/>
  <c r="D1566" i="13"/>
  <c r="D1110" i="13"/>
  <c r="D1257" i="13"/>
  <c r="D558" i="13"/>
  <c r="D900" i="13"/>
  <c r="D524" i="13"/>
  <c r="D1478" i="13"/>
  <c r="D1558" i="13"/>
  <c r="D1574" i="13"/>
  <c r="D1601" i="13"/>
  <c r="D914" i="13"/>
  <c r="D1396" i="13"/>
  <c r="D66" i="13"/>
  <c r="D1331" i="13"/>
  <c r="D1202" i="13"/>
  <c r="D554" i="13"/>
  <c r="D327" i="13"/>
  <c r="D961" i="13"/>
  <c r="D1221" i="13"/>
  <c r="D365" i="13"/>
  <c r="D636" i="13"/>
  <c r="D648" i="13"/>
  <c r="D673" i="13"/>
  <c r="D1482" i="13"/>
  <c r="D1217" i="13"/>
  <c r="D74" i="13"/>
  <c r="D1632" i="13"/>
  <c r="D1070" i="13"/>
  <c r="D488" i="13"/>
  <c r="D214" i="13"/>
  <c r="D84" i="13"/>
  <c r="D1304" i="13"/>
  <c r="D1569" i="13"/>
  <c r="D1054" i="13"/>
  <c r="D959" i="13"/>
  <c r="D1577" i="13"/>
  <c r="D1000" i="13"/>
  <c r="D1706" i="13"/>
  <c r="D1540" i="13"/>
  <c r="D1534" i="13"/>
  <c r="D949" i="13"/>
  <c r="D1268" i="13"/>
  <c r="D387" i="13"/>
  <c r="D1451" i="13"/>
  <c r="D1473" i="13"/>
  <c r="D1312" i="13"/>
  <c r="D1682" i="13"/>
  <c r="D640" i="13"/>
  <c r="D42" i="13"/>
  <c r="D1193" i="13"/>
  <c r="D377" i="13"/>
  <c r="D1012" i="13"/>
  <c r="D1314" i="13"/>
  <c r="D404" i="13"/>
  <c r="D1106" i="13"/>
  <c r="D1458" i="13"/>
  <c r="D973" i="13"/>
  <c r="D837" i="13"/>
  <c r="D95" i="13"/>
  <c r="D1449" i="13"/>
  <c r="D1564" i="13"/>
  <c r="D1260" i="13"/>
  <c r="D82" i="13"/>
  <c r="D625" i="13"/>
  <c r="D1434" i="13"/>
  <c r="D430" i="13"/>
  <c r="D1428" i="13"/>
  <c r="D256" i="13"/>
  <c r="D131" i="13"/>
  <c r="D456" i="13"/>
  <c r="D1345" i="13"/>
  <c r="D1130" i="13"/>
  <c r="D1590" i="13"/>
  <c r="D1488" i="13"/>
  <c r="D1687" i="13"/>
  <c r="D414" i="13"/>
  <c r="D187" i="13"/>
  <c r="D489" i="13"/>
  <c r="D184" i="13"/>
  <c r="D368" i="13"/>
  <c r="D867" i="13"/>
  <c r="D473" i="13"/>
  <c r="D1724" i="13"/>
  <c r="D78" i="13"/>
  <c r="D1136" i="13"/>
  <c r="D1134" i="13"/>
  <c r="D264" i="13"/>
  <c r="D702" i="13"/>
  <c r="D146" i="13"/>
  <c r="D731" i="13"/>
  <c r="D926" i="13"/>
  <c r="D651" i="13"/>
  <c r="D1416" i="13"/>
  <c r="D209" i="13"/>
  <c r="D985" i="13"/>
  <c r="D613" i="13"/>
  <c r="D240" i="13"/>
  <c r="D695" i="13"/>
  <c r="D964" i="13"/>
  <c r="D353" i="13"/>
  <c r="D1372" i="13"/>
  <c r="D1391" i="13"/>
  <c r="D1087" i="13"/>
  <c r="D1258" i="13"/>
  <c r="D639" i="13"/>
  <c r="D25" i="13"/>
  <c r="D1655" i="13"/>
  <c r="D1347" i="13"/>
  <c r="D298" i="13"/>
  <c r="D1118" i="13"/>
  <c r="D1349" i="13"/>
  <c r="D435" i="13"/>
  <c r="D795" i="13"/>
  <c r="D1148" i="13"/>
  <c r="D1402" i="13"/>
  <c r="D1528" i="13"/>
  <c r="D536" i="13"/>
  <c r="D325" i="13"/>
  <c r="D783" i="13"/>
  <c r="D1310" i="13"/>
  <c r="D1125" i="13"/>
  <c r="D1610" i="13"/>
  <c r="D729" i="13"/>
  <c r="D1580" i="13"/>
  <c r="D906" i="13"/>
  <c r="D397" i="13"/>
  <c r="D1683" i="13"/>
  <c r="D1099" i="13"/>
  <c r="D1102" i="13"/>
  <c r="D1273" i="13"/>
  <c r="D1483" i="13"/>
  <c r="D1208" i="13"/>
  <c r="D170" i="13"/>
  <c r="D1008" i="13"/>
  <c r="D272" i="13"/>
  <c r="D29" i="13"/>
  <c r="D881" i="13"/>
  <c r="D786" i="13"/>
  <c r="D437" i="13"/>
  <c r="D1553" i="13"/>
  <c r="D409" i="13"/>
  <c r="D994" i="13"/>
  <c r="D1138" i="13"/>
  <c r="D1139" i="13"/>
  <c r="D222" i="13"/>
  <c r="D1004" i="13"/>
  <c r="D628" i="13"/>
  <c r="D1468" i="13"/>
  <c r="D903" i="13"/>
  <c r="D1069" i="13"/>
  <c r="D139" i="13"/>
  <c r="D4" i="13"/>
  <c r="D908" i="13"/>
  <c r="D1018" i="13"/>
  <c r="D1287" i="13"/>
  <c r="D1237" i="13"/>
  <c r="D1369" i="13"/>
  <c r="D1359" i="13"/>
  <c r="D1715" i="13"/>
  <c r="D987" i="13"/>
  <c r="D497" i="13"/>
  <c r="D656" i="13"/>
  <c r="D1045" i="13"/>
  <c r="D62" i="13"/>
  <c r="D1702" i="13"/>
  <c r="D755" i="13"/>
  <c r="D989" i="13"/>
  <c r="D53" i="13"/>
  <c r="D291" i="13"/>
  <c r="D1135" i="13"/>
  <c r="D1214" i="13"/>
  <c r="D1509" i="13"/>
  <c r="D275" i="13"/>
  <c r="D1725" i="13"/>
  <c r="D1309" i="13"/>
  <c r="D1141" i="13"/>
  <c r="D311" i="13"/>
  <c r="D205" i="13"/>
  <c r="D1689" i="13"/>
  <c r="D1269" i="13"/>
  <c r="D1663" i="13"/>
  <c r="D605" i="13"/>
  <c r="D822" i="13"/>
  <c r="D1131" i="13"/>
  <c r="D1399" i="13"/>
  <c r="D1204" i="13"/>
  <c r="D1206" i="13"/>
  <c r="D1651" i="13"/>
  <c r="D1490" i="13"/>
  <c r="D1666" i="13"/>
  <c r="D1726" i="13"/>
  <c r="D1182" i="13"/>
  <c r="D1145" i="13"/>
  <c r="D86" i="13"/>
  <c r="D721" i="13"/>
  <c r="D1374" i="13"/>
  <c r="D1101" i="13"/>
  <c r="D1662" i="13"/>
  <c r="D212" i="13"/>
  <c r="D1457" i="13"/>
  <c r="D333" i="13"/>
  <c r="D1291" i="13"/>
  <c r="D1629" i="13"/>
  <c r="D1036" i="13"/>
  <c r="D1681" i="13"/>
  <c r="D893" i="13"/>
  <c r="D694" i="13"/>
  <c r="D878" i="13"/>
  <c r="D265" i="13"/>
  <c r="D621" i="13"/>
  <c r="D1440" i="13"/>
  <c r="D1709" i="13"/>
  <c r="D778" i="13"/>
  <c r="D1211" i="13"/>
  <c r="D1673" i="13"/>
  <c r="D1005" i="13"/>
  <c r="D593" i="13"/>
  <c r="D64" i="13"/>
  <c r="D23" i="13"/>
  <c r="D27" i="13"/>
  <c r="D515" i="13"/>
  <c r="D1066" i="13"/>
  <c r="D1232" i="13"/>
  <c r="D403" i="13"/>
  <c r="D1479" i="13"/>
  <c r="D879" i="13"/>
  <c r="D1127" i="13"/>
  <c r="D1177" i="13"/>
  <c r="D956" i="13"/>
  <c r="D129" i="13"/>
  <c r="D1518" i="13"/>
  <c r="D1379" i="13"/>
  <c r="D1507" i="13"/>
  <c r="D257" i="13"/>
  <c r="D1093" i="13"/>
  <c r="D896" i="13"/>
  <c r="D715" i="13"/>
  <c r="D301" i="13"/>
  <c r="D455" i="13"/>
  <c r="D1067" i="13"/>
  <c r="D797" i="13"/>
  <c r="D297" i="13"/>
  <c r="D44" i="13"/>
  <c r="D54" i="13"/>
  <c r="D472" i="13"/>
  <c r="D1276" i="13"/>
  <c r="D853" i="13"/>
  <c r="D1227" i="13"/>
  <c r="D330" i="13"/>
  <c r="D664" i="13"/>
  <c r="D865" i="13"/>
  <c r="D1023" i="13"/>
  <c r="D1255" i="13"/>
  <c r="D68" i="13"/>
  <c r="D1261" i="13"/>
  <c r="D608" i="13"/>
  <c r="D1611" i="13"/>
  <c r="D1297" i="13"/>
  <c r="D91" i="13"/>
  <c r="D1163" i="13"/>
  <c r="D1068" i="13"/>
  <c r="D1144" i="13"/>
  <c r="D204" i="13"/>
  <c r="D943" i="13"/>
  <c r="D1050" i="13"/>
  <c r="D894" i="13"/>
  <c r="D869" i="13"/>
  <c r="D371" i="13"/>
  <c r="D1322" i="13"/>
  <c r="D38" i="13"/>
  <c r="D334" i="13"/>
  <c r="D1081" i="13"/>
  <c r="D251" i="13"/>
  <c r="D1400" i="13"/>
  <c r="D439" i="13"/>
  <c r="D1245" i="13"/>
  <c r="D644" i="13"/>
  <c r="D356" i="13"/>
  <c r="D462" i="13"/>
  <c r="D178" i="13"/>
  <c r="D1658" i="13"/>
  <c r="D573" i="13"/>
  <c r="D341" i="13"/>
  <c r="D378" i="13"/>
  <c r="D133" i="13"/>
  <c r="D162" i="13"/>
  <c r="D254" i="13"/>
  <c r="D1336" i="13"/>
  <c r="D252" i="13"/>
  <c r="D645" i="13"/>
  <c r="D104" i="13"/>
  <c r="D525" i="13"/>
  <c r="D619" i="13"/>
  <c r="D342" i="13"/>
  <c r="D245" i="13"/>
  <c r="D1616" i="13"/>
  <c r="D1579" i="13"/>
  <c r="D1501" i="13"/>
  <c r="D1595" i="13"/>
  <c r="D1006" i="13"/>
  <c r="D790" i="13"/>
  <c r="D1027" i="13"/>
  <c r="D1187" i="13"/>
  <c r="D892" i="13"/>
  <c r="D1119" i="13"/>
  <c r="D1049" i="13"/>
  <c r="D24" i="13"/>
  <c r="D1583" i="13"/>
  <c r="D739" i="13"/>
  <c r="D164" i="13"/>
  <c r="D663" i="13"/>
  <c r="D344" i="13"/>
  <c r="D812" i="13"/>
  <c r="D1057" i="13"/>
  <c r="D1533" i="13"/>
  <c r="D431" i="13"/>
  <c r="D207" i="13"/>
  <c r="D307" i="13"/>
  <c r="D672" i="13"/>
  <c r="D367" i="13"/>
  <c r="D1361" i="13"/>
  <c r="D866" i="13"/>
  <c r="D919" i="13"/>
  <c r="D306" i="13"/>
  <c r="D406" i="13"/>
  <c r="D1064" i="13"/>
  <c r="D944" i="13"/>
  <c r="D569" i="13"/>
  <c r="D428" i="13"/>
  <c r="D1667" i="13"/>
  <c r="D1409" i="13"/>
  <c r="D1599" i="13"/>
  <c r="D361" i="13"/>
  <c r="D1517" i="13"/>
  <c r="D230" i="13"/>
  <c r="D1598" i="13"/>
  <c r="D1444" i="13"/>
  <c r="D1293" i="13"/>
  <c r="D1365" i="13"/>
  <c r="D765" i="13"/>
  <c r="D384" i="13"/>
  <c r="D1234" i="13"/>
  <c r="D1390" i="13"/>
  <c r="D1423" i="13"/>
  <c r="D1397" i="13"/>
  <c r="D28" i="13"/>
  <c r="D590" i="13"/>
  <c r="D1404" i="13"/>
  <c r="D14" i="13"/>
  <c r="D753" i="13"/>
  <c r="D1212" i="13"/>
  <c r="D1364" i="13"/>
  <c r="D679" i="13"/>
  <c r="D398" i="13"/>
  <c r="D1184" i="13"/>
  <c r="D678" i="13"/>
  <c r="D1429" i="13"/>
  <c r="D1350" i="13"/>
  <c r="D779" i="13"/>
  <c r="D412" i="13"/>
  <c r="D119" i="13"/>
  <c r="D268" i="13"/>
  <c r="D563" i="13"/>
  <c r="D1607" i="13"/>
  <c r="D1578" i="13"/>
  <c r="D609" i="13"/>
  <c r="D1137" i="13"/>
  <c r="D1209" i="13"/>
  <c r="D1650" i="13"/>
  <c r="D954" i="13"/>
  <c r="D604" i="13"/>
  <c r="D32" i="13"/>
  <c r="D809" i="13"/>
  <c r="D836" i="13"/>
  <c r="D794" i="13"/>
  <c r="D7" i="13"/>
  <c r="D693" i="13"/>
  <c r="D1582" i="13"/>
  <c r="D41" i="13"/>
  <c r="D470" i="13"/>
  <c r="D748" i="13"/>
  <c r="D1085" i="13"/>
  <c r="D913" i="13"/>
  <c r="D166" i="13"/>
  <c r="D681" i="13"/>
  <c r="D798" i="13"/>
  <c r="D873" i="13"/>
  <c r="D96" i="13"/>
  <c r="D259" i="13"/>
  <c r="D323" i="13"/>
  <c r="D485" i="13"/>
  <c r="D1077" i="13"/>
  <c r="D1516" i="13"/>
  <c r="D683" i="13"/>
  <c r="D921" i="13"/>
  <c r="D1031" i="13"/>
  <c r="D711" i="13"/>
  <c r="D3" i="13"/>
  <c r="D1505" i="13"/>
  <c r="D1704" i="13"/>
  <c r="D422" i="13"/>
  <c r="D375" i="13"/>
  <c r="D1254" i="13"/>
  <c r="D722" i="13"/>
  <c r="D92" i="13"/>
  <c r="D1270" i="13"/>
  <c r="D637" i="13"/>
  <c r="D390" i="13"/>
  <c r="D745" i="13"/>
  <c r="D194" i="13"/>
  <c r="D1412" i="13"/>
  <c r="D490" i="13"/>
  <c r="D476" i="13"/>
  <c r="D916" i="13"/>
  <c r="D1352" i="13"/>
  <c r="D805" i="13"/>
  <c r="D545" i="13"/>
  <c r="D258" i="13"/>
  <c r="D767" i="13"/>
  <c r="D22" i="13"/>
  <c r="D1688" i="13"/>
  <c r="D1343" i="13"/>
  <c r="D1363" i="13"/>
  <c r="D1105" i="13"/>
  <c r="D815" i="13"/>
  <c r="D1723" i="13"/>
  <c r="D627" i="13"/>
  <c r="D1448" i="13"/>
  <c r="D501" i="13"/>
  <c r="D284" i="13"/>
  <c r="D407" i="13"/>
  <c r="D955" i="13"/>
  <c r="D504" i="13"/>
  <c r="D1332" i="13"/>
  <c r="D457" i="13"/>
  <c r="D963" i="13"/>
  <c r="D1589" i="13"/>
  <c r="D931" i="13"/>
  <c r="D1413" i="13"/>
  <c r="D376" i="13"/>
  <c r="D995" i="13"/>
  <c r="D71" i="13"/>
  <c r="D1176" i="13"/>
  <c r="D724" i="13"/>
  <c r="D1383" i="13"/>
  <c r="D1166" i="13"/>
  <c r="D858" i="13"/>
  <c r="D1161" i="13"/>
  <c r="D1197" i="13"/>
  <c r="D1062" i="13"/>
  <c r="D1108" i="13"/>
  <c r="D551" i="13"/>
  <c r="D1275" i="13"/>
  <c r="D114" i="13"/>
  <c r="D848" i="13"/>
  <c r="D1014" i="13"/>
  <c r="D269" i="13"/>
  <c r="D190" i="13"/>
  <c r="D1477" i="13"/>
  <c r="D1395" i="13"/>
  <c r="D718" i="13"/>
  <c r="D1171" i="13"/>
  <c r="D1557" i="13"/>
  <c r="D1707" i="13"/>
  <c r="D546" i="13"/>
  <c r="D580" i="13"/>
  <c r="D174" i="13"/>
  <c r="D57" i="13"/>
  <c r="D410" i="13"/>
  <c r="D945" i="13"/>
  <c r="D218" i="13"/>
  <c r="D1159" i="13"/>
  <c r="D140" i="13"/>
  <c r="D1550" i="13"/>
  <c r="D675" i="13"/>
  <c r="D775" i="13"/>
  <c r="D1035" i="13"/>
  <c r="D877" i="13"/>
  <c r="D1266" i="13"/>
  <c r="D198" i="13"/>
  <c r="D358" i="13"/>
  <c r="D687" i="13"/>
  <c r="D1729" i="13"/>
  <c r="D150" i="13"/>
  <c r="D690" i="13"/>
  <c r="D610" i="13"/>
  <c r="D617" i="13"/>
  <c r="D127" i="13"/>
  <c r="D618" i="13"/>
  <c r="D443" i="13"/>
  <c r="D1696" i="13"/>
  <c r="D369" i="13"/>
  <c r="D626" i="13"/>
  <c r="D1010" i="13"/>
  <c r="D585" i="13"/>
  <c r="D1593" i="13"/>
  <c r="D1584" i="13"/>
  <c r="D1120" i="13"/>
  <c r="D907" i="13"/>
  <c r="D947" i="13"/>
  <c r="D938" i="13"/>
  <c r="D1306" i="13"/>
  <c r="D1158" i="13"/>
  <c r="D1300" i="13"/>
  <c r="D1046" i="13"/>
  <c r="D458" i="13"/>
  <c r="D1103" i="13"/>
  <c r="D846" i="13"/>
  <c r="D699" i="13"/>
  <c r="D315" i="13"/>
  <c r="D611" i="13"/>
  <c r="D383" i="13"/>
  <c r="D575" i="13"/>
  <c r="D1200" i="13"/>
  <c r="D830" i="13"/>
  <c r="D1414" i="13"/>
  <c r="D1366" i="13"/>
  <c r="D366" i="13"/>
  <c r="D1178" i="13"/>
  <c r="D318" i="13"/>
  <c r="D65" i="13"/>
  <c r="D362" i="13"/>
  <c r="D299" i="13"/>
  <c r="D1549" i="13"/>
  <c r="D734" i="13"/>
  <c r="D471" i="13"/>
  <c r="D419" i="13"/>
  <c r="D1038" i="13"/>
  <c r="D819" i="13"/>
  <c r="D874" i="13"/>
  <c r="D579" i="13"/>
  <c r="D1722" i="13"/>
  <c r="D1436" i="13"/>
  <c r="D1086" i="13"/>
  <c r="D1381" i="13"/>
  <c r="D1403" i="13"/>
  <c r="D1351" i="13"/>
  <c r="D1614" i="13"/>
  <c r="D1253" i="13"/>
  <c r="D1157" i="13"/>
  <c r="D1060" i="13"/>
  <c r="D1531" i="13"/>
  <c r="D1548" i="13"/>
  <c r="D56" i="13"/>
  <c r="D665" i="13"/>
  <c r="D102" i="13"/>
  <c r="D606" i="13"/>
  <c r="D1075" i="13"/>
  <c r="D143" i="13"/>
  <c r="D223" i="13"/>
  <c r="D1405" i="13"/>
  <c r="D1115" i="13"/>
  <c r="D511" i="13"/>
  <c r="D992" i="13"/>
  <c r="D1215" i="13"/>
  <c r="D864" i="13"/>
  <c r="D429" i="13"/>
  <c r="D899" i="13"/>
  <c r="D215" i="13"/>
  <c r="D495" i="13"/>
  <c r="D1368" i="13"/>
  <c r="D843" i="13"/>
  <c r="D1462" i="13"/>
  <c r="D160" i="13"/>
  <c r="D582" i="13"/>
  <c r="D653" i="13"/>
  <c r="D507" i="13"/>
  <c r="D288" i="13"/>
  <c r="D1493" i="13"/>
  <c r="D902" i="13"/>
  <c r="D188" i="13"/>
  <c r="D882" i="13"/>
  <c r="D984" i="13"/>
  <c r="D370" i="13"/>
  <c r="D263" i="13"/>
  <c r="D1325" i="13"/>
  <c r="D560" i="13"/>
  <c r="D655" i="13"/>
  <c r="D216" i="13"/>
  <c r="D1438" i="13"/>
  <c r="D975" i="13"/>
  <c r="D454" i="13"/>
  <c r="D246" i="13"/>
  <c r="D304" i="13"/>
  <c r="D967" i="13"/>
  <c r="D1168" i="13"/>
  <c r="D1523" i="13"/>
  <c r="D928" i="13"/>
  <c r="D1192" i="13"/>
  <c r="D115" i="13"/>
  <c r="D1042" i="13"/>
  <c r="D1283" i="13"/>
  <c r="D206" i="13"/>
  <c r="D126" i="13"/>
  <c r="D1224" i="13"/>
  <c r="D1498" i="13"/>
  <c r="D1431" i="13"/>
  <c r="D539" i="13"/>
  <c r="D364" i="13"/>
  <c r="D676" i="13"/>
  <c r="D747" i="13"/>
  <c r="D289" i="13"/>
  <c r="D845" i="13"/>
  <c r="D110" i="13"/>
  <c r="D312" i="13"/>
  <c r="D1508" i="13"/>
  <c r="D862" i="13"/>
  <c r="D1701" i="13"/>
  <c r="D423" i="13"/>
  <c r="D912" i="13"/>
  <c r="D1063" i="13"/>
  <c r="D61" i="13"/>
  <c r="D856" i="13"/>
  <c r="D118" i="13"/>
  <c r="D1152" i="13"/>
  <c r="D801" i="13"/>
  <c r="D689" i="13"/>
  <c r="D1527" i="13"/>
  <c r="D98" i="13"/>
  <c r="D326" i="13"/>
  <c r="D816" i="13"/>
  <c r="D646" i="13"/>
  <c r="D1620" i="13"/>
  <c r="D1174" i="13"/>
  <c r="D436" i="13"/>
  <c r="D111" i="13"/>
  <c r="D1697" i="13"/>
  <c r="D1634" i="13"/>
  <c r="D1123" i="13"/>
  <c r="D427" i="13"/>
  <c r="D278" i="13"/>
  <c r="D450" i="13"/>
  <c r="D1645" i="13"/>
  <c r="D444" i="13"/>
  <c r="D253" i="13"/>
  <c r="D1216" i="13"/>
  <c r="D1471" i="13"/>
  <c r="D770" i="13"/>
  <c r="D1147" i="13"/>
  <c r="D1529" i="13"/>
  <c r="D467" i="13"/>
  <c r="D1592" i="13"/>
  <c r="D918" i="13"/>
  <c r="D1512" i="13"/>
  <c r="D1150" i="13"/>
  <c r="D1492" i="13"/>
  <c r="D156" i="13"/>
  <c r="D242" i="13"/>
  <c r="D411" i="13"/>
  <c r="D1653" i="13"/>
  <c r="D101" i="13"/>
  <c r="D70" i="13"/>
  <c r="D638" i="13"/>
  <c r="D860" i="13"/>
  <c r="D1710" i="13"/>
  <c r="D1408" i="13"/>
  <c r="D820" i="13"/>
  <c r="D774" i="13"/>
  <c r="D1437" i="13"/>
  <c r="D802" i="13"/>
  <c r="D1248" i="13"/>
  <c r="D960" i="13"/>
  <c r="D260" i="13"/>
  <c r="D171" i="13"/>
  <c r="D677" i="13"/>
  <c r="D1617" i="13"/>
  <c r="D1520" i="13"/>
  <c r="D1460" i="13"/>
  <c r="D1022" i="13"/>
  <c r="D45" i="13"/>
  <c r="D1606" i="13"/>
  <c r="D432" i="13"/>
  <c r="D1603" i="13"/>
  <c r="D733" i="13"/>
  <c r="D158" i="13"/>
  <c r="D1467" i="13"/>
  <c r="D898" i="13"/>
  <c r="D1033" i="13"/>
  <c r="D1452" i="13"/>
  <c r="D438" i="13"/>
  <c r="D904" i="13"/>
  <c r="D388" i="13"/>
  <c r="D237" i="13"/>
  <c r="D854" i="13"/>
  <c r="D274" i="13"/>
  <c r="D217" i="13"/>
  <c r="D562" i="13"/>
  <c r="D548" i="13"/>
  <c r="D757" i="13"/>
  <c r="D1660" i="13"/>
  <c r="D1195" i="13"/>
  <c r="D1484" i="13"/>
  <c r="D577" i="13"/>
  <c r="D1677" i="13"/>
  <c r="D1446" i="13"/>
  <c r="D464" i="13"/>
  <c r="D825" i="13"/>
  <c r="D772" i="13"/>
  <c r="D382" i="13"/>
  <c r="D761" i="13"/>
  <c r="D1236" i="13"/>
  <c r="D1380" i="13"/>
  <c r="D871" i="13"/>
  <c r="D228" i="13"/>
  <c r="D346" i="13"/>
  <c r="D1053" i="13"/>
  <c r="D499" i="13"/>
  <c r="D234" i="13"/>
  <c r="D1142" i="13"/>
  <c r="D654" i="13"/>
  <c r="D615" i="13"/>
  <c r="D141" i="13"/>
  <c r="D547" i="13"/>
  <c r="D851" i="13"/>
  <c r="D1720" i="13"/>
  <c r="D1284" i="13"/>
  <c r="D51" i="13"/>
  <c r="D486" i="13"/>
  <c r="D506" i="13"/>
  <c r="D936" i="13"/>
  <c r="D480" i="13"/>
  <c r="D1319" i="13"/>
  <c r="D986" i="13"/>
  <c r="D671" i="13"/>
  <c r="D1459" i="13"/>
  <c r="D1307" i="13"/>
  <c r="D1151" i="13"/>
  <c r="D1585" i="13"/>
  <c r="D1586" i="13"/>
  <c r="D1524" i="13"/>
  <c r="D1246" i="13"/>
  <c r="D1389" i="13"/>
  <c r="D1567" i="13"/>
  <c r="D148" i="13"/>
  <c r="D433" i="13"/>
  <c r="D736" i="13"/>
  <c r="D1104" i="13"/>
  <c r="D47" i="13"/>
  <c r="D6" i="13"/>
  <c r="D1455" i="13"/>
  <c r="D1562" i="13"/>
  <c r="D764" i="13"/>
  <c r="D1020" i="13"/>
  <c r="D210" i="13"/>
  <c r="D578" i="13"/>
  <c r="D320" i="13"/>
  <c r="D1160" i="13"/>
  <c r="D971" i="13"/>
  <c r="D8" i="13"/>
  <c r="D277" i="13"/>
  <c r="D1530" i="13"/>
  <c r="D309" i="13"/>
  <c r="D1447" i="13"/>
  <c r="D463" i="13"/>
  <c r="D950" i="13"/>
  <c r="D1264" i="13"/>
  <c r="D1072" i="13"/>
  <c r="D751" i="13"/>
  <c r="D1594" i="13"/>
  <c r="D1522" i="13"/>
  <c r="D712" i="13"/>
  <c r="D1017" i="13"/>
  <c r="D1240" i="13"/>
  <c r="D927" i="13"/>
  <c r="D965" i="13"/>
  <c r="D449" i="13"/>
  <c r="D1132" i="13"/>
  <c r="D1296" i="13"/>
  <c r="D122" i="13"/>
  <c r="D811" i="13"/>
  <c r="D179" i="13"/>
  <c r="D692" i="13"/>
  <c r="D26" i="13"/>
  <c r="D1407" i="13"/>
  <c r="D73" i="13"/>
  <c r="D710" i="13"/>
  <c r="D351" i="13"/>
  <c r="D759" i="13"/>
  <c r="D1491" i="13"/>
  <c r="D512" i="13"/>
  <c r="D597" i="13"/>
  <c r="D935" i="13"/>
  <c r="D587" i="13"/>
  <c r="D137" i="13"/>
  <c r="D1175" i="13"/>
  <c r="D79" i="13"/>
  <c r="D1320" i="13"/>
  <c r="D213" i="13"/>
  <c r="D295" i="13"/>
  <c r="D662" i="13"/>
  <c r="D232" i="13"/>
  <c r="D1559" i="13"/>
  <c r="D85" i="13"/>
  <c r="D1551" i="13"/>
  <c r="D659" i="13"/>
  <c r="D413" i="13"/>
  <c r="D55" i="13"/>
  <c r="D491" i="13"/>
  <c r="D1073" i="13"/>
  <c r="D934" i="13"/>
  <c r="D1188" i="13"/>
  <c r="D34" i="13"/>
  <c r="D227" i="13"/>
  <c r="D313" i="13"/>
  <c r="D561" i="13"/>
  <c r="D1556" i="13"/>
  <c r="D305" i="13"/>
  <c r="D789" i="13"/>
  <c r="D149" i="13"/>
  <c r="D1229" i="13"/>
  <c r="D1496" i="13"/>
  <c r="D670" i="13"/>
  <c r="D36" i="13"/>
  <c r="D1111" i="13"/>
  <c r="D707" i="13"/>
  <c r="D708" i="13"/>
  <c r="D832" i="13"/>
  <c r="D1052" i="13"/>
  <c r="D1109" i="13"/>
  <c r="D697" i="13"/>
  <c r="D603" i="13"/>
  <c r="D153" i="13"/>
  <c r="D1698" i="13"/>
  <c r="D534" i="13"/>
  <c r="D67" i="13"/>
  <c r="D983" i="13"/>
  <c r="D103" i="13"/>
  <c r="D958" i="13"/>
  <c r="D766" i="13"/>
  <c r="D1247" i="13"/>
  <c r="D1100" i="13"/>
  <c r="D1272" i="13"/>
  <c r="D527" i="13"/>
  <c r="D1676" i="13"/>
  <c r="D219" i="13"/>
  <c r="D199" i="13"/>
  <c r="D202" i="13"/>
  <c r="D657" i="13"/>
  <c r="D1563" i="13"/>
  <c r="D1203" i="13"/>
  <c r="D1015" i="13"/>
  <c r="D749" i="13"/>
  <c r="D769" i="13"/>
  <c r="D857" i="13"/>
  <c r="D1292" i="13"/>
  <c r="D402" i="13"/>
  <c r="D487" i="13"/>
  <c r="D688" i="13"/>
  <c r="D302" i="13"/>
  <c r="D1521" i="13"/>
  <c r="D661" i="13"/>
  <c r="D195" i="13"/>
  <c r="D1094" i="13"/>
  <c r="D132" i="13"/>
  <c r="D1356" i="13"/>
  <c r="D81" i="13"/>
  <c r="D1317" i="13"/>
  <c r="D1497" i="13"/>
  <c r="D1179" i="13"/>
  <c r="D1735" i="13"/>
  <c r="D1201" i="13"/>
  <c r="D1299" i="13"/>
  <c r="D574" i="13"/>
  <c r="D905" i="13"/>
  <c r="D719" i="13"/>
  <c r="D192" i="13"/>
  <c r="D396" i="13"/>
  <c r="D632" i="13"/>
  <c r="D1615" i="13"/>
  <c r="D951" i="13"/>
  <c r="D1623" i="13"/>
  <c r="D482" i="13"/>
  <c r="D1344" i="13"/>
  <c r="D1265" i="13"/>
  <c r="D796" i="13"/>
  <c r="D1181" i="13"/>
  <c r="D978" i="13"/>
  <c r="D1288" i="13"/>
  <c r="D852" i="13"/>
  <c r="D271" i="13"/>
  <c r="D1001" i="13"/>
  <c r="D814" i="13"/>
  <c r="D1226" i="13"/>
  <c r="D94" i="13"/>
  <c r="D834" i="13"/>
  <c r="D669" i="13"/>
  <c r="D1519" i="13"/>
  <c r="D981" i="13"/>
  <c r="D1647" i="13"/>
  <c r="D1059" i="13"/>
  <c r="D1210" i="13"/>
  <c r="D1581" i="13"/>
  <c r="D1308" i="13"/>
  <c r="D1604" i="13"/>
  <c r="D754" i="13"/>
  <c r="D1609" i="13"/>
  <c r="D1461" i="13"/>
  <c r="D1424" i="13"/>
  <c r="D1377" i="13"/>
  <c r="D1262" i="13"/>
  <c r="D588" i="13"/>
  <c r="D405" i="13"/>
  <c r="D196" i="13"/>
  <c r="D1415" i="13"/>
  <c r="D785" i="13"/>
  <c r="D1194" i="13"/>
  <c r="D518" i="13"/>
  <c r="D704" i="13"/>
  <c r="D1385" i="13"/>
  <c r="D1406" i="13"/>
  <c r="D804" i="13"/>
  <c r="D1619" i="13"/>
  <c r="D897" i="13"/>
  <c r="D335" i="13"/>
  <c r="D317" i="13"/>
  <c r="D612" i="13"/>
  <c r="D434" i="13"/>
  <c r="D1572" i="13"/>
  <c r="D1465" i="13"/>
  <c r="D1427" i="13"/>
  <c r="D1180" i="13"/>
  <c r="D509" i="13"/>
  <c r="D1646" i="13"/>
  <c r="D116" i="13"/>
  <c r="D478" i="13"/>
  <c r="D322" i="13"/>
  <c r="D1654" i="13"/>
  <c r="D1335" i="13"/>
  <c r="D813" i="13"/>
  <c r="D1220" i="13"/>
  <c r="D735" i="13"/>
  <c r="D172" i="13"/>
  <c r="D838" i="13"/>
  <c r="D154" i="13"/>
  <c r="D109" i="13"/>
  <c r="D920" i="13"/>
  <c r="D9" i="13"/>
  <c r="D1386" i="13"/>
  <c r="D16" i="13"/>
  <c r="D1445" i="13"/>
  <c r="D373" i="13"/>
  <c r="D1625" i="13"/>
  <c r="D474" i="13"/>
  <c r="D1196" i="13"/>
  <c r="D181" i="13"/>
  <c r="D262" i="13"/>
  <c r="D917" i="13"/>
  <c r="D100" i="13"/>
  <c r="D392" i="13"/>
  <c r="D220" i="13"/>
  <c r="D60" i="13"/>
  <c r="D421" i="13"/>
  <c r="D800" i="13"/>
  <c r="D290" i="13"/>
  <c r="D1016" i="13"/>
  <c r="D602" i="13"/>
  <c r="D77" i="13"/>
  <c r="D1575" i="13"/>
  <c r="D447" i="13"/>
  <c r="D1419" i="13"/>
  <c r="D426" i="13"/>
  <c r="D1539" i="13"/>
  <c r="D1494" i="13"/>
  <c r="D1337" i="13"/>
  <c r="D1233" i="13"/>
  <c r="D1044" i="13"/>
  <c r="D777" i="13"/>
  <c r="D1370" i="13"/>
  <c r="D1024" i="13"/>
  <c r="D180" i="13"/>
  <c r="D236" i="13"/>
  <c r="D1525" i="13"/>
  <c r="D385" i="13"/>
  <c r="D152" i="13"/>
  <c r="D466" i="13"/>
  <c r="D1156" i="13"/>
  <c r="D1318" i="13"/>
  <c r="D1280" i="13"/>
  <c r="D1164" i="13"/>
  <c r="D136" i="13"/>
  <c r="D124" i="13"/>
  <c r="D1649" i="13"/>
  <c r="D208" i="13"/>
  <c r="D1443" i="13"/>
  <c r="D303" i="13"/>
  <c r="D543" i="13"/>
  <c r="D1576" i="13"/>
  <c r="D1055" i="13"/>
  <c r="D1485" i="13"/>
  <c r="D1636" i="13"/>
  <c r="D1048" i="13"/>
  <c r="D1464" i="13"/>
  <c r="D461" i="13"/>
  <c r="D347" i="13"/>
  <c r="D1499" i="13"/>
  <c r="D530" i="13"/>
  <c r="D980" i="13"/>
  <c r="D197" i="13"/>
  <c r="D343" i="13"/>
  <c r="D738" i="13"/>
  <c r="D1466" i="13"/>
  <c r="D1149" i="13"/>
  <c r="D1358" i="13"/>
  <c r="D46" i="13"/>
  <c r="D1515" i="13"/>
  <c r="D714" i="13"/>
  <c r="D1165" i="13"/>
  <c r="D863" i="13"/>
  <c r="D572" i="13"/>
  <c r="D445" i="13"/>
  <c r="D1690" i="13"/>
  <c r="D567" i="13"/>
  <c r="D182" i="13"/>
  <c r="D1624" i="13"/>
  <c r="D285" i="13"/>
  <c r="D1536" i="13"/>
  <c r="D1029" i="13"/>
  <c r="D997" i="13"/>
  <c r="D300" i="13"/>
  <c r="D594" i="13"/>
  <c r="D641" i="13"/>
  <c r="D1089" i="13"/>
  <c r="D191" i="13"/>
  <c r="D1432" i="13"/>
  <c r="D1243" i="13"/>
  <c r="D1665" i="13"/>
  <c r="D584" i="13"/>
  <c r="D135" i="13"/>
  <c r="D1433" i="13"/>
  <c r="D1030" i="13"/>
  <c r="D519" i="13"/>
  <c r="D500" i="13"/>
  <c r="D69" i="13"/>
  <c r="D1500" i="13"/>
  <c r="D1573" i="13"/>
  <c r="D1384" i="13"/>
  <c r="D20" i="13"/>
  <c r="D649" i="13"/>
  <c r="D1082" i="13"/>
  <c r="D1633" i="13"/>
  <c r="D599" i="13"/>
  <c r="D957" i="13"/>
  <c r="D1618" i="13"/>
  <c r="D895" i="13"/>
  <c r="D1327" i="13"/>
  <c r="D479" i="13"/>
  <c r="D829" i="13"/>
  <c r="D1555" i="13"/>
  <c r="D1401" i="13"/>
  <c r="D782" i="13"/>
  <c r="D976" i="13"/>
  <c r="D244" i="13"/>
  <c r="D1693" i="13"/>
  <c r="D988" i="13"/>
  <c r="D176" i="13"/>
  <c r="D946" i="13"/>
  <c r="D72" i="13"/>
  <c r="D932" i="13"/>
  <c r="D872" i="13"/>
  <c r="D1716" i="13"/>
  <c r="D355" i="13"/>
  <c r="D336" i="13"/>
  <c r="D1621" i="13"/>
  <c r="D758" i="13"/>
  <c r="D1695" i="13"/>
  <c r="D831" i="13"/>
  <c r="D1026" i="13"/>
  <c r="D63" i="13"/>
  <c r="D339" i="13"/>
  <c r="D1346" i="13"/>
  <c r="D741" i="13"/>
  <c r="D1047" i="13"/>
  <c r="D1341" i="13"/>
  <c r="D1354" i="13"/>
  <c r="D1510" i="13"/>
  <c r="D169" i="13"/>
  <c r="D108" i="13"/>
  <c r="D1612" i="13"/>
  <c r="D502" i="13"/>
  <c r="D1489" i="13"/>
  <c r="D287" i="13"/>
  <c r="D842" i="13"/>
  <c r="D1169" i="13"/>
  <c r="D354" i="13"/>
  <c r="D522" i="13"/>
  <c r="D1324" i="13"/>
  <c r="D1355" i="13"/>
  <c r="D175" i="13"/>
  <c r="D310" i="13"/>
  <c r="D1242" i="13"/>
  <c r="D1339" i="13"/>
  <c r="D296" i="13"/>
  <c r="D776" i="13"/>
  <c r="D990" i="13"/>
  <c r="D17" i="13"/>
  <c r="D823" i="13"/>
  <c r="D1285" i="13"/>
  <c r="D930" i="13"/>
  <c r="D1362" i="13"/>
  <c r="D1679" i="13"/>
  <c r="D508" i="13"/>
  <c r="D1013" i="13"/>
  <c r="D211" i="13"/>
  <c r="D15" i="13"/>
  <c r="D1543" i="13"/>
  <c r="D875" i="13"/>
  <c r="D942" i="13"/>
  <c r="D1541" i="13"/>
  <c r="D583" i="13"/>
  <c r="D600" i="13"/>
  <c r="D1239" i="13"/>
  <c r="D492" i="13"/>
  <c r="D233" i="13"/>
  <c r="D329" i="13"/>
  <c r="D740" i="13"/>
  <c r="D998" i="13"/>
  <c r="D1596" i="13"/>
  <c r="D261" i="13"/>
  <c r="D1542" i="13"/>
  <c r="D682" i="13"/>
  <c r="D401" i="13"/>
  <c r="D503" i="13"/>
  <c r="D550" i="13"/>
  <c r="D357" i="13"/>
  <c r="D1672" i="13"/>
  <c r="D1113" i="13"/>
  <c r="D221" i="13"/>
  <c r="D280" i="13"/>
  <c r="D1694" i="13"/>
  <c r="D542" i="13"/>
  <c r="D763" i="13"/>
  <c r="D282" i="13"/>
  <c r="D1021" i="13"/>
  <c r="D1678" i="13"/>
  <c r="D709" i="13"/>
  <c r="D350" i="13"/>
  <c r="D685" i="13"/>
  <c r="D1143" i="13"/>
  <c r="D1692" i="13"/>
  <c r="D743" i="13"/>
  <c r="D1511" i="13"/>
  <c r="D1630" i="13"/>
  <c r="D824" i="13"/>
  <c r="D448" i="13"/>
  <c r="D1112" i="13"/>
  <c r="D1708" i="13"/>
  <c r="D674" i="13"/>
  <c r="D496" i="13"/>
  <c r="D993" i="13"/>
  <c r="D442" i="13"/>
  <c r="D861" i="13"/>
  <c r="D1375" i="13"/>
  <c r="D294" i="13"/>
  <c r="D1532" i="13"/>
  <c r="D337" i="13"/>
  <c r="D1476" i="13"/>
  <c r="D658" i="13"/>
  <c r="D1552" i="13"/>
  <c r="D1162" i="13"/>
  <c r="D90" i="13"/>
  <c r="D589" i="13"/>
  <c r="D1146" i="13"/>
  <c r="D1259" i="13"/>
  <c r="D1641" i="13"/>
  <c r="D537" i="13"/>
  <c r="D440" i="13"/>
  <c r="D760" i="13"/>
  <c r="D1353" i="13"/>
  <c r="D1591" i="13"/>
  <c r="D1251" i="13"/>
  <c r="D974" i="13"/>
  <c r="D1183" i="13"/>
  <c r="D328" i="13"/>
  <c r="D666" i="13"/>
  <c r="D1545" i="13"/>
  <c r="D121" i="13"/>
  <c r="D1133" i="13"/>
  <c r="D1392" i="13"/>
  <c r="D332" i="13"/>
  <c r="D1295" i="13"/>
  <c r="D1056" i="13"/>
  <c r="D159" i="13"/>
  <c r="D87" i="13"/>
  <c r="D1025" i="13"/>
  <c r="D1279" i="13"/>
  <c r="D1439" i="13"/>
  <c r="D891" i="13"/>
  <c r="D686" i="13"/>
  <c r="D887" i="13"/>
  <c r="D962" i="13"/>
  <c r="D844" i="13"/>
  <c r="D1535" i="13"/>
  <c r="D642" i="13"/>
  <c r="D31" i="13"/>
  <c r="D840" i="13"/>
  <c r="D1421" i="13"/>
  <c r="D1315" i="13"/>
  <c r="D314" i="13"/>
  <c r="D915" i="13"/>
  <c r="D1186" i="13"/>
  <c r="D1602" i="13"/>
  <c r="D248" i="13"/>
  <c r="D700" i="13"/>
  <c r="D1323" i="13"/>
  <c r="D12" i="13"/>
  <c r="D591" i="13"/>
  <c r="D420" i="13"/>
  <c r="D1657" i="13"/>
  <c r="D620" i="13"/>
  <c r="D163" i="13"/>
  <c r="D1153" i="13"/>
  <c r="D1326" i="13"/>
  <c r="D1568" i="13"/>
  <c r="D1003" i="13"/>
  <c r="D1642" i="13"/>
  <c r="D939" i="13"/>
  <c r="D1659" i="13"/>
  <c r="D1083" i="13"/>
  <c r="D966" i="13"/>
  <c r="D634" i="13"/>
  <c r="D1732" i="13"/>
  <c r="D279" i="13"/>
  <c r="D827" i="13"/>
  <c r="D1639" i="13"/>
  <c r="D586" i="13"/>
  <c r="D571" i="13"/>
  <c r="D128" i="13"/>
  <c r="D1032" i="13"/>
  <c r="D703" i="13"/>
  <c r="D526" i="13"/>
  <c r="D417" i="13"/>
  <c r="D544" i="13"/>
  <c r="D39" i="13"/>
  <c r="D393" i="13"/>
  <c r="D1329" i="13"/>
  <c r="D807" i="13"/>
  <c r="D89" i="13"/>
  <c r="D531" i="13"/>
  <c r="D1301" i="13"/>
  <c r="D1418" i="13"/>
  <c r="D1398" i="13"/>
  <c r="D1213" i="13"/>
  <c r="D1513" i="13"/>
  <c r="D841" i="13"/>
  <c r="D1092" i="13"/>
  <c r="D107" i="13"/>
  <c r="D933" i="13"/>
  <c r="D321" i="13"/>
  <c r="D386" i="13"/>
  <c r="D1474" i="13"/>
  <c r="D1009" i="13"/>
  <c r="D557" i="13"/>
  <c r="D780" i="13"/>
  <c r="D859" i="13"/>
  <c r="D475" i="13"/>
  <c r="D528" i="13"/>
  <c r="D161" i="13"/>
  <c r="D1190" i="13"/>
  <c r="D250" i="13"/>
  <c r="D1382" i="13"/>
  <c r="D564" i="13"/>
  <c r="D1256" i="13"/>
  <c r="D505" i="13"/>
  <c r="D713" i="13"/>
  <c r="D281" i="13"/>
  <c r="D1648" i="13"/>
  <c r="D1223" i="13"/>
  <c r="D691" i="13"/>
  <c r="D1360" i="13"/>
  <c r="D151" i="13"/>
  <c r="D629" i="13"/>
  <c r="D1328" i="13"/>
  <c r="D1670" i="13"/>
  <c r="D1091" i="13"/>
  <c r="D372" i="13"/>
  <c r="D643" i="13"/>
  <c r="D727" i="13"/>
  <c r="D1526" i="13"/>
  <c r="D514" i="13"/>
  <c r="D1342" i="13"/>
  <c r="D1487" i="13"/>
  <c r="D1199" i="13"/>
  <c r="D726" i="13"/>
  <c r="D201" i="13"/>
  <c r="D484" i="13"/>
  <c r="D941" i="13"/>
  <c r="D249" i="13"/>
  <c r="D668" i="13"/>
  <c r="D1669" i="13"/>
  <c r="D1250" i="13"/>
  <c r="D730" i="13"/>
  <c r="D952" i="13"/>
  <c r="D1338" i="13"/>
  <c r="D510" i="13"/>
  <c r="D1442" i="13"/>
  <c r="D465" i="13"/>
  <c r="D308" i="13"/>
  <c r="D883" i="13"/>
  <c r="D1417" i="13"/>
  <c r="D999" i="13"/>
  <c r="D266" i="13"/>
  <c r="D623" i="13"/>
  <c r="D1456" i="13"/>
  <c r="D185" i="13"/>
  <c r="D1503" i="13"/>
  <c r="D1219" i="13"/>
  <c r="D808" i="13"/>
  <c r="D1453" i="13"/>
  <c r="D155" i="13"/>
  <c r="D969" i="13"/>
  <c r="D18" i="13"/>
  <c r="D33" i="13"/>
  <c r="D566" i="13"/>
  <c r="D477" i="13"/>
  <c r="D1454" i="13"/>
  <c r="D1705" i="13"/>
  <c r="D555" i="13"/>
  <c r="D1231" i="13"/>
  <c r="D117" i="13"/>
  <c r="D134" i="13"/>
  <c r="D1040" i="13"/>
  <c r="D452" i="13"/>
  <c r="D835" i="13"/>
  <c r="D352" i="13"/>
  <c r="D923" i="13"/>
  <c r="D1278" i="13"/>
  <c r="D717" i="13"/>
  <c r="D21" i="13"/>
  <c r="D348" i="13"/>
  <c r="D888" i="13"/>
  <c r="D1155" i="13"/>
  <c r="D581" i="13"/>
  <c r="D43" i="13"/>
  <c r="D725" i="13"/>
  <c r="D1316" i="13"/>
  <c r="D1554" i="13"/>
  <c r="D1333" i="13"/>
  <c r="D968" i="13"/>
  <c r="D1065" i="13"/>
  <c r="D1235" i="13"/>
  <c r="D360" i="13"/>
  <c r="D523" i="13"/>
  <c r="D880" i="13"/>
  <c r="D19" i="13"/>
  <c r="D1334" i="13"/>
  <c r="D380" i="13"/>
  <c r="D165" i="13"/>
  <c r="D147" i="13"/>
  <c r="D1088" i="13"/>
  <c r="D340" i="13"/>
  <c r="D540" i="13"/>
  <c r="D870" i="13"/>
  <c r="D517" i="13"/>
  <c r="D706" i="13"/>
  <c r="D1252" i="13"/>
  <c r="D1472" i="13"/>
  <c r="D75" i="13"/>
  <c r="D1249" i="13"/>
  <c r="D1731" i="13"/>
  <c r="D1241" i="13"/>
  <c r="D1121" i="13"/>
  <c r="D732" i="13"/>
  <c r="D1637" i="13"/>
  <c r="D1393" i="13"/>
  <c r="D1626" i="13"/>
  <c r="D1043" i="13"/>
  <c r="D948" i="13"/>
  <c r="D1730" i="13"/>
  <c r="D624" i="13"/>
  <c r="D598" i="13"/>
  <c r="D788" i="13"/>
  <c r="D83" i="13"/>
  <c r="D521" i="13"/>
  <c r="D1129" i="13"/>
  <c r="D680" i="13"/>
  <c r="D1170" i="13"/>
  <c r="D276" i="13"/>
  <c r="D1074" i="13"/>
  <c r="D1271" i="13"/>
  <c r="D1388" i="13"/>
  <c r="D768" i="13"/>
  <c r="D762" i="13"/>
  <c r="D1674" i="13"/>
  <c r="D1664" i="13"/>
  <c r="D576" i="13"/>
  <c r="D1686" i="13"/>
  <c r="D601" i="13"/>
  <c r="D1546" i="13"/>
  <c r="D1313" i="13"/>
  <c r="D200" i="13"/>
  <c r="D10" i="13"/>
  <c r="D1538" i="13"/>
  <c r="D35" i="37"/>
  <c r="E35" i="37" s="1"/>
  <c r="L87" i="38"/>
  <c r="AU21" i="35"/>
  <c r="AU35" i="35"/>
  <c r="AU24" i="35"/>
  <c r="AU34" i="35"/>
  <c r="AU6" i="35"/>
  <c r="V8" i="21" s="1"/>
  <c r="AU7" i="35"/>
  <c r="V9" i="21" s="1"/>
  <c r="AU11" i="35"/>
  <c r="V13" i="21" s="1"/>
  <c r="AU39" i="35"/>
  <c r="AU45" i="35"/>
  <c r="AU13" i="35"/>
  <c r="V15" i="21" s="1"/>
  <c r="AU8" i="35"/>
  <c r="V10" i="21" s="1"/>
  <c r="AU15" i="35"/>
  <c r="AU27" i="35"/>
  <c r="AU19" i="35"/>
  <c r="AU32" i="35"/>
  <c r="AU14" i="35"/>
  <c r="AU29" i="35"/>
  <c r="AU25" i="35"/>
  <c r="AU28" i="35"/>
  <c r="AU22" i="35"/>
  <c r="AU12" i="35"/>
  <c r="V14" i="21" s="1"/>
  <c r="AU20" i="35"/>
  <c r="C51" i="10"/>
  <c r="AU23" i="35"/>
  <c r="AU17" i="35"/>
  <c r="AU5" i="35"/>
  <c r="V7" i="21" s="1"/>
  <c r="AU38" i="35"/>
  <c r="AU4" i="35"/>
  <c r="V6" i="21" s="1"/>
  <c r="V4" i="21" s="1"/>
  <c r="AU37" i="35"/>
  <c r="AU16" i="35"/>
  <c r="AU44" i="35"/>
  <c r="AU30" i="35"/>
  <c r="AU42" i="35"/>
  <c r="AU18" i="35"/>
  <c r="AU33" i="35"/>
  <c r="AU26" i="35"/>
  <c r="AU36" i="35"/>
  <c r="AU43" i="35"/>
  <c r="AU41" i="35"/>
  <c r="AU9" i="35"/>
  <c r="V11" i="21" s="1"/>
  <c r="AU31" i="35"/>
  <c r="AU40" i="35"/>
  <c r="AU10" i="35"/>
  <c r="V12" i="21" s="1"/>
  <c r="AJ4" i="32"/>
  <c r="D26" i="10"/>
  <c r="AJ5" i="32"/>
  <c r="AK5" i="32"/>
  <c r="AK4" i="32"/>
  <c r="AJ6" i="32"/>
  <c r="AK6" i="32"/>
  <c r="AJ7" i="32"/>
  <c r="AK7" i="32"/>
  <c r="AJ8" i="32"/>
  <c r="AJ9" i="32"/>
  <c r="AJ10" i="32"/>
  <c r="AK8" i="32"/>
  <c r="AK10" i="32"/>
  <c r="AK9" i="32"/>
  <c r="AJ11" i="32"/>
  <c r="AJ12" i="32"/>
  <c r="AJ13" i="32"/>
  <c r="AK11" i="32"/>
  <c r="AK12" i="32"/>
  <c r="AK13" i="32"/>
  <c r="AJ14" i="32"/>
  <c r="AJ15" i="32"/>
  <c r="AK15" i="32"/>
  <c r="AK14" i="32"/>
  <c r="AJ16" i="32"/>
  <c r="AJ24" i="32"/>
  <c r="AJ39" i="32"/>
  <c r="AJ28" i="32"/>
  <c r="AJ45" i="32"/>
  <c r="AJ38" i="32"/>
  <c r="AJ43" i="32"/>
  <c r="AJ22" i="32"/>
  <c r="AJ44" i="32"/>
  <c r="AJ23" i="32"/>
  <c r="AJ20" i="32"/>
  <c r="AJ29" i="32"/>
  <c r="AJ41" i="32"/>
  <c r="AJ42" i="32"/>
  <c r="AJ32" i="32"/>
  <c r="AJ36" i="32"/>
  <c r="AJ33" i="32"/>
  <c r="AJ40" i="32"/>
  <c r="AJ26" i="32"/>
  <c r="AJ17" i="32"/>
  <c r="AJ19" i="32"/>
  <c r="AJ25" i="32"/>
  <c r="AJ37" i="32"/>
  <c r="AK28" i="32"/>
  <c r="AK17" i="32"/>
  <c r="AK34" i="32"/>
  <c r="AK38" i="32"/>
  <c r="AK27" i="32"/>
  <c r="AK19" i="32"/>
  <c r="AK31" i="32"/>
  <c r="AK20" i="32"/>
  <c r="AK37" i="32"/>
  <c r="AK41" i="32"/>
  <c r="AK26" i="32"/>
  <c r="AK18" i="32"/>
  <c r="AK42" i="32"/>
  <c r="AK25" i="32"/>
  <c r="AK44" i="32"/>
  <c r="AK32" i="32"/>
  <c r="AK33" i="32"/>
  <c r="AK29" i="32"/>
  <c r="AK40" i="32"/>
  <c r="AK16" i="32"/>
  <c r="AK43" i="32"/>
  <c r="AK23" i="32"/>
  <c r="AK24" i="32"/>
  <c r="AK36" i="32"/>
  <c r="AK22" i="32"/>
  <c r="AK30" i="32"/>
  <c r="AK21" i="32"/>
  <c r="AK35" i="32"/>
  <c r="AK39" i="32"/>
  <c r="AK45" i="32"/>
  <c r="AJ18" i="32"/>
  <c r="AJ30" i="32"/>
  <c r="AJ21" i="32"/>
  <c r="AJ35" i="32"/>
  <c r="AJ31" i="32"/>
  <c r="AJ27" i="32"/>
  <c r="AJ34" i="32"/>
  <c r="G93" i="1" l="1"/>
  <c r="L78" i="13"/>
  <c r="D22" i="11"/>
  <c r="D6" i="11"/>
  <c r="F54" i="10"/>
  <c r="J77" i="13"/>
  <c r="E92" i="1"/>
  <c r="L77" i="13"/>
  <c r="G92" i="1"/>
  <c r="F25" i="1"/>
  <c r="D25" i="1"/>
  <c r="G25" i="1"/>
  <c r="L79" i="13"/>
  <c r="G94" i="1"/>
  <c r="C7" i="11"/>
  <c r="AN45" i="32"/>
  <c r="AN23" i="32"/>
  <c r="AN25" i="32"/>
  <c r="AN19" i="32"/>
  <c r="AN13" i="32"/>
  <c r="AN4" i="32"/>
  <c r="AN39" i="32"/>
  <c r="AN42" i="32"/>
  <c r="AN27" i="32"/>
  <c r="AN12" i="32"/>
  <c r="AN5" i="32"/>
  <c r="AJ4" i="35"/>
  <c r="AN15" i="32"/>
  <c r="AJ5" i="35"/>
  <c r="AN43" i="32"/>
  <c r="AN35" i="32"/>
  <c r="AN16" i="32"/>
  <c r="AN18" i="32"/>
  <c r="AN38" i="32"/>
  <c r="AN11" i="32"/>
  <c r="G29" i="10"/>
  <c r="AN6" i="32"/>
  <c r="AN21" i="32"/>
  <c r="AN40" i="32"/>
  <c r="AN26" i="32"/>
  <c r="AN34" i="32"/>
  <c r="AN9" i="32"/>
  <c r="D51" i="10"/>
  <c r="AN30" i="32"/>
  <c r="AN29" i="32"/>
  <c r="AN41" i="32"/>
  <c r="AN17" i="32"/>
  <c r="AN10" i="32"/>
  <c r="AN36" i="32"/>
  <c r="AN20" i="32"/>
  <c r="AN14" i="32"/>
  <c r="AN7" i="32"/>
  <c r="AJ6" i="35"/>
  <c r="AN22" i="32"/>
  <c r="AN33" i="32"/>
  <c r="AN37" i="32"/>
  <c r="AN28" i="32"/>
  <c r="AN8" i="32"/>
  <c r="AN32" i="32"/>
  <c r="AN24" i="32"/>
  <c r="AN44" i="32"/>
  <c r="AN31" i="32"/>
  <c r="AJ7" i="35"/>
  <c r="AK4" i="35"/>
  <c r="AK5" i="35"/>
  <c r="AK7" i="35"/>
  <c r="AK6" i="35"/>
  <c r="AJ8" i="35"/>
  <c r="AJ9" i="35"/>
  <c r="AJ10" i="35"/>
  <c r="AJ11" i="35"/>
  <c r="AJ12" i="35"/>
  <c r="AK10" i="35"/>
  <c r="AK11" i="35"/>
  <c r="AK8" i="35"/>
  <c r="AK9" i="35"/>
  <c r="AK12" i="35"/>
  <c r="AJ13" i="35"/>
  <c r="AJ14" i="35"/>
  <c r="AJ15" i="35"/>
  <c r="AJ16" i="35"/>
  <c r="AJ23" i="35"/>
  <c r="AJ45" i="35"/>
  <c r="AJ32" i="35"/>
  <c r="AJ43" i="35"/>
  <c r="AJ18" i="35"/>
  <c r="AJ34" i="35"/>
  <c r="AJ22" i="35"/>
  <c r="AK25" i="35"/>
  <c r="AK17" i="35"/>
  <c r="AK36" i="35"/>
  <c r="AK18" i="35"/>
  <c r="AK42" i="35"/>
  <c r="AK31" i="35"/>
  <c r="AK30" i="35"/>
  <c r="AK38" i="35"/>
  <c r="AK28" i="35"/>
  <c r="AK41" i="35"/>
  <c r="AK21" i="35"/>
  <c r="AK22" i="35"/>
  <c r="AK43" i="35"/>
  <c r="AK15" i="35"/>
  <c r="AK34" i="35"/>
  <c r="AK27" i="35"/>
  <c r="AK45" i="35"/>
  <c r="AK37" i="35"/>
  <c r="AK40" i="35"/>
  <c r="AK14" i="35"/>
  <c r="AK16" i="35"/>
  <c r="AK44" i="35"/>
  <c r="AK33" i="35"/>
  <c r="AK20" i="35"/>
  <c r="AK23" i="35"/>
  <c r="AK39" i="35"/>
  <c r="AK24" i="35"/>
  <c r="AK19" i="35"/>
  <c r="AK35" i="35"/>
  <c r="AK26" i="35"/>
  <c r="AK29" i="35"/>
  <c r="AK32" i="35"/>
  <c r="AK13" i="35"/>
  <c r="AJ24" i="35"/>
  <c r="AJ30" i="35"/>
  <c r="AJ39" i="35"/>
  <c r="AJ44" i="35"/>
  <c r="AJ25" i="35"/>
  <c r="AJ42" i="35"/>
  <c r="AJ17" i="35"/>
  <c r="AJ40" i="35"/>
  <c r="AJ31" i="35"/>
  <c r="AJ29" i="35"/>
  <c r="AJ27" i="35"/>
  <c r="AJ20" i="35"/>
  <c r="AJ38" i="35"/>
  <c r="AJ41" i="35"/>
  <c r="AJ28" i="35"/>
  <c r="AJ36" i="35"/>
  <c r="AJ26" i="35"/>
  <c r="AJ33" i="35"/>
  <c r="AJ21" i="35"/>
  <c r="AJ37" i="35"/>
  <c r="AJ35" i="35"/>
  <c r="AJ19" i="35"/>
  <c r="D22" i="12" l="1"/>
  <c r="F42" i="12"/>
  <c r="G42" i="12" s="1"/>
  <c r="L42" i="12" s="1"/>
  <c r="F39" i="12"/>
  <c r="F11" i="12"/>
  <c r="F165" i="12"/>
  <c r="G165" i="12" s="1"/>
  <c r="L165" i="12" s="1"/>
  <c r="D30" i="12"/>
  <c r="F6" i="12"/>
  <c r="F35" i="12"/>
  <c r="F162" i="12"/>
  <c r="G162" i="12" s="1"/>
  <c r="L162" i="12" s="1"/>
  <c r="F9" i="12"/>
  <c r="D24" i="12"/>
  <c r="D20" i="12"/>
  <c r="F40" i="12"/>
  <c r="F41" i="12"/>
  <c r="F168" i="12"/>
  <c r="G168" i="12" s="1"/>
  <c r="L168" i="12" s="1"/>
  <c r="F43" i="12"/>
  <c r="G43" i="12" s="1"/>
  <c r="L43" i="12" s="1"/>
  <c r="F14" i="12"/>
  <c r="G14" i="12" s="1"/>
  <c r="L14" i="12" s="1"/>
  <c r="F163" i="12"/>
  <c r="G163" i="12" s="1"/>
  <c r="L163" i="12" s="1"/>
  <c r="D29" i="12"/>
  <c r="D23" i="12"/>
  <c r="E5" i="38"/>
  <c r="F13" i="12"/>
  <c r="F7" i="12"/>
  <c r="D27" i="12"/>
  <c r="D25" i="12"/>
  <c r="F8" i="12"/>
  <c r="F16" i="12"/>
  <c r="G16" i="12" s="1"/>
  <c r="F166" i="12"/>
  <c r="G166" i="12" s="1"/>
  <c r="L166" i="12" s="1"/>
  <c r="F173" i="12"/>
  <c r="D28" i="12"/>
  <c r="F34" i="12"/>
  <c r="F10" i="12"/>
  <c r="F44" i="12"/>
  <c r="G44" i="12" s="1"/>
  <c r="F161" i="12"/>
  <c r="G161" i="12" s="1"/>
  <c r="L161" i="12" s="1"/>
  <c r="D26" i="12"/>
  <c r="K61" i="12"/>
  <c r="F36" i="12"/>
  <c r="F38" i="12"/>
  <c r="F12" i="12"/>
  <c r="F37" i="12"/>
  <c r="F15" i="12"/>
  <c r="G15" i="12" s="1"/>
  <c r="D21" i="12"/>
  <c r="F160" i="12"/>
  <c r="G160" i="12" s="1"/>
  <c r="L160" i="12" s="1"/>
  <c r="F164" i="12"/>
  <c r="G164" i="12" s="1"/>
  <c r="L164" i="12" s="1"/>
  <c r="F159" i="12"/>
  <c r="G159" i="12" s="1"/>
  <c r="L159" i="12" s="1"/>
  <c r="F167" i="12"/>
  <c r="G167" i="12" s="1"/>
  <c r="L167" i="12" s="1"/>
  <c r="D7" i="11"/>
  <c r="L25" i="1"/>
  <c r="J25" i="1"/>
  <c r="M25" i="1"/>
  <c r="AN13" i="35"/>
  <c r="AN23" i="35"/>
  <c r="AN45" i="35"/>
  <c r="AN28" i="35"/>
  <c r="AN25" i="35"/>
  <c r="AN5" i="35"/>
  <c r="AN18" i="35"/>
  <c r="AN32" i="35"/>
  <c r="AN20" i="35"/>
  <c r="AN27" i="35"/>
  <c r="AN38" i="35"/>
  <c r="AN12" i="35"/>
  <c r="AN4" i="35"/>
  <c r="AN29" i="35"/>
  <c r="AN33" i="35"/>
  <c r="AN34" i="35"/>
  <c r="AN30" i="35"/>
  <c r="AN9" i="35"/>
  <c r="AO4" i="32"/>
  <c r="AN14" i="35"/>
  <c r="AN26" i="35"/>
  <c r="AN44" i="35"/>
  <c r="AN15" i="35"/>
  <c r="AN31" i="35"/>
  <c r="AN8" i="35"/>
  <c r="AN19" i="35"/>
  <c r="AN35" i="35"/>
  <c r="AN16" i="35"/>
  <c r="AN43" i="35"/>
  <c r="AN42" i="35"/>
  <c r="AN11" i="35"/>
  <c r="G54" i="10"/>
  <c r="AN10" i="35"/>
  <c r="AN24" i="35"/>
  <c r="AN40" i="35"/>
  <c r="AN21" i="35"/>
  <c r="AN36" i="35"/>
  <c r="AN6" i="35"/>
  <c r="AN39" i="35"/>
  <c r="AN37" i="35"/>
  <c r="AN41" i="35"/>
  <c r="AN17" i="35"/>
  <c r="AN7" i="35"/>
  <c r="AN22" i="35"/>
  <c r="AO5" i="32"/>
  <c r="AP4" i="32"/>
  <c r="AP5" i="32"/>
  <c r="AO6" i="32"/>
  <c r="AP6" i="32"/>
  <c r="AO7" i="32"/>
  <c r="AP9" i="32"/>
  <c r="AO10" i="32"/>
  <c r="AO14" i="32"/>
  <c r="AP41" i="32"/>
  <c r="AO28" i="32"/>
  <c r="AP32" i="32"/>
  <c r="AO42" i="32"/>
  <c r="AO21" i="32"/>
  <c r="AO35" i="32"/>
  <c r="AO41" i="32"/>
  <c r="AP10" i="32"/>
  <c r="AO15" i="32"/>
  <c r="AO38" i="32"/>
  <c r="AO19" i="32"/>
  <c r="AP23" i="32"/>
  <c r="AP45" i="32"/>
  <c r="AO32" i="32"/>
  <c r="AO17" i="32"/>
  <c r="AP33" i="32"/>
  <c r="AO44" i="32"/>
  <c r="AO39" i="32"/>
  <c r="AO33" i="32"/>
  <c r="AP18" i="32"/>
  <c r="AO36" i="32"/>
  <c r="AO18" i="32"/>
  <c r="AP17" i="32"/>
  <c r="AO11" i="32"/>
  <c r="AP14" i="32"/>
  <c r="AP16" i="32"/>
  <c r="AO40" i="32"/>
  <c r="AO31" i="32"/>
  <c r="AP20" i="32"/>
  <c r="AP37" i="32"/>
  <c r="AP21" i="32"/>
  <c r="AP22" i="32"/>
  <c r="AP43" i="32"/>
  <c r="AO29" i="32"/>
  <c r="AP30" i="32"/>
  <c r="AP34" i="32"/>
  <c r="AP44" i="32"/>
  <c r="AP8" i="32"/>
  <c r="AP26" i="32"/>
  <c r="AP39" i="32"/>
  <c r="AP40" i="32"/>
  <c r="AO27" i="32"/>
  <c r="AO9" i="32"/>
  <c r="AO22" i="32"/>
  <c r="AP29" i="32"/>
  <c r="AO13" i="32"/>
  <c r="AP7" i="32"/>
  <c r="AO23" i="32"/>
  <c r="AO26" i="32"/>
  <c r="AP27" i="32"/>
  <c r="AO20" i="32"/>
  <c r="AO43" i="32"/>
  <c r="AP35" i="32"/>
  <c r="AP31" i="32"/>
  <c r="AO16" i="32"/>
  <c r="AO12" i="32"/>
  <c r="AP28" i="32"/>
  <c r="AP12" i="32"/>
  <c r="AP38" i="32"/>
  <c r="AP13" i="32"/>
  <c r="AO24" i="32"/>
  <c r="AO34" i="32"/>
  <c r="AP42" i="32"/>
  <c r="AO30" i="32"/>
  <c r="AO45" i="32"/>
  <c r="AP24" i="32"/>
  <c r="AP19" i="32"/>
  <c r="AO37" i="32"/>
  <c r="AP25" i="32"/>
  <c r="AO25" i="32"/>
  <c r="AP36" i="32"/>
  <c r="AP15" i="32"/>
  <c r="AP11" i="32"/>
  <c r="AO8" i="32"/>
  <c r="D6" i="12" l="1"/>
  <c r="F51" i="12"/>
  <c r="F28" i="12"/>
  <c r="F23" i="12"/>
  <c r="D13" i="12"/>
  <c r="F54" i="12"/>
  <c r="F52" i="12"/>
  <c r="L61" i="12"/>
  <c r="D16" i="12"/>
  <c r="D11" i="12"/>
  <c r="F26" i="12"/>
  <c r="F24" i="12"/>
  <c r="F50" i="12"/>
  <c r="F48" i="12"/>
  <c r="D12" i="12"/>
  <c r="D7" i="12"/>
  <c r="F20" i="12"/>
  <c r="F55" i="12"/>
  <c r="F22" i="12"/>
  <c r="D9" i="12"/>
  <c r="D15" i="12"/>
  <c r="D14" i="12"/>
  <c r="F49" i="12"/>
  <c r="F21" i="12"/>
  <c r="F58" i="12"/>
  <c r="G58" i="12" s="1"/>
  <c r="F56" i="12"/>
  <c r="G56" i="12" s="1"/>
  <c r="L56" i="12" s="1"/>
  <c r="D8" i="12"/>
  <c r="F53" i="12"/>
  <c r="F25" i="12"/>
  <c r="F29" i="12"/>
  <c r="D10" i="12"/>
  <c r="F30" i="12"/>
  <c r="F57" i="12"/>
  <c r="F27" i="12"/>
  <c r="D5" i="38"/>
  <c r="D54" i="12"/>
  <c r="D179" i="12"/>
  <c r="D182" i="12"/>
  <c r="D57" i="12"/>
  <c r="D177" i="12"/>
  <c r="D52" i="12"/>
  <c r="G39" i="12"/>
  <c r="L39" i="12" s="1"/>
  <c r="G8" i="12"/>
  <c r="D71" i="12" s="1"/>
  <c r="G9" i="12"/>
  <c r="D72" i="12" s="1"/>
  <c r="D49" i="12"/>
  <c r="D174" i="12"/>
  <c r="D178" i="12"/>
  <c r="D53" i="12"/>
  <c r="G10" i="12"/>
  <c r="L10" i="12" s="1"/>
  <c r="D55" i="12"/>
  <c r="D180" i="12"/>
  <c r="G35" i="12"/>
  <c r="L35" i="12" s="1"/>
  <c r="D81" i="12"/>
  <c r="G37" i="12"/>
  <c r="L37" i="12" s="1"/>
  <c r="G12" i="12"/>
  <c r="L12" i="12" s="1"/>
  <c r="G7" i="12"/>
  <c r="L7" i="12" s="1"/>
  <c r="D70" i="12"/>
  <c r="G6" i="12"/>
  <c r="D69" i="12" s="1"/>
  <c r="L6" i="12"/>
  <c r="G34" i="12"/>
  <c r="L34" i="12" s="1"/>
  <c r="D80" i="12"/>
  <c r="G38" i="12"/>
  <c r="D84" i="12" s="1"/>
  <c r="D181" i="12"/>
  <c r="D56" i="12"/>
  <c r="G13" i="12"/>
  <c r="L13" i="12" s="1"/>
  <c r="G41" i="12"/>
  <c r="L41" i="12" s="1"/>
  <c r="D58" i="12"/>
  <c r="D183" i="12"/>
  <c r="D104" i="1"/>
  <c r="E45" i="38"/>
  <c r="F45" i="38" s="1"/>
  <c r="E9" i="38"/>
  <c r="E18" i="38"/>
  <c r="F18" i="38" s="1"/>
  <c r="N44" i="38"/>
  <c r="N41" i="38"/>
  <c r="W46" i="38"/>
  <c r="X46" i="38" s="1"/>
  <c r="E11" i="38"/>
  <c r="E41" i="38"/>
  <c r="E46" i="38"/>
  <c r="F46" i="38" s="1"/>
  <c r="E16" i="38"/>
  <c r="F16" i="38" s="1"/>
  <c r="N40" i="38"/>
  <c r="W38" i="38"/>
  <c r="E42" i="38"/>
  <c r="E36" i="38"/>
  <c r="E10" i="38"/>
  <c r="W37" i="38"/>
  <c r="W36" i="38"/>
  <c r="E8" i="38"/>
  <c r="N36" i="38"/>
  <c r="N43" i="38"/>
  <c r="W43" i="38"/>
  <c r="N42" i="38"/>
  <c r="E39" i="38"/>
  <c r="W41" i="38"/>
  <c r="N46" i="38"/>
  <c r="O46" i="38" s="1"/>
  <c r="N45" i="38"/>
  <c r="N37" i="38"/>
  <c r="W44" i="38"/>
  <c r="E38" i="38"/>
  <c r="E43" i="38"/>
  <c r="E13" i="38"/>
  <c r="E14" i="38"/>
  <c r="N39" i="38"/>
  <c r="N38" i="38"/>
  <c r="E40" i="38"/>
  <c r="W40" i="38"/>
  <c r="E44" i="38"/>
  <c r="F44" i="38" s="1"/>
  <c r="E12" i="38"/>
  <c r="W45" i="38"/>
  <c r="E15" i="38"/>
  <c r="W39" i="38"/>
  <c r="E37" i="38"/>
  <c r="W42" i="38"/>
  <c r="E17" i="38"/>
  <c r="F17" i="38" s="1"/>
  <c r="W57" i="38"/>
  <c r="W53" i="38"/>
  <c r="W50" i="38"/>
  <c r="W51" i="38"/>
  <c r="W59" i="38"/>
  <c r="X59" i="38" s="1"/>
  <c r="W56" i="38"/>
  <c r="W60" i="38"/>
  <c r="X60" i="38" s="1"/>
  <c r="W52" i="38"/>
  <c r="W54" i="38"/>
  <c r="W58" i="38"/>
  <c r="W55" i="38"/>
  <c r="G40" i="12"/>
  <c r="D86" i="12" s="1"/>
  <c r="L40" i="12"/>
  <c r="D50" i="12"/>
  <c r="D175" i="12"/>
  <c r="G36" i="12"/>
  <c r="D82" i="12" s="1"/>
  <c r="L36" i="12"/>
  <c r="D176" i="12"/>
  <c r="D51" i="12"/>
  <c r="D48" i="12"/>
  <c r="D173" i="12"/>
  <c r="G11" i="12"/>
  <c r="L11" i="12" s="1"/>
  <c r="AQ11" i="32"/>
  <c r="AQ38" i="32"/>
  <c r="AQ40" i="32"/>
  <c r="AQ22" i="32"/>
  <c r="AQ33" i="32"/>
  <c r="AQ5" i="32"/>
  <c r="AQ18" i="32"/>
  <c r="AQ15" i="32"/>
  <c r="AQ12" i="32"/>
  <c r="AQ39" i="32"/>
  <c r="AQ21" i="32"/>
  <c r="AQ45" i="32"/>
  <c r="AQ4" i="32"/>
  <c r="AQ36" i="32"/>
  <c r="AQ28" i="32"/>
  <c r="AQ26" i="32"/>
  <c r="AQ37" i="32"/>
  <c r="AQ23" i="32"/>
  <c r="AQ43" i="32"/>
  <c r="AQ25" i="32"/>
  <c r="AQ31" i="32"/>
  <c r="AQ8" i="32"/>
  <c r="AQ20" i="32"/>
  <c r="AQ10" i="32"/>
  <c r="AQ19" i="32"/>
  <c r="AQ35" i="32"/>
  <c r="AQ44" i="32"/>
  <c r="AQ16" i="32"/>
  <c r="AQ32" i="32"/>
  <c r="AQ6" i="32"/>
  <c r="AQ24" i="32"/>
  <c r="AQ27" i="32"/>
  <c r="AQ34" i="32"/>
  <c r="AQ14" i="32"/>
  <c r="AQ41" i="32"/>
  <c r="AO4" i="35"/>
  <c r="AQ13" i="32"/>
  <c r="AQ42" i="32"/>
  <c r="AQ7" i="32"/>
  <c r="AQ30" i="32"/>
  <c r="AQ17" i="32"/>
  <c r="AQ9" i="32"/>
  <c r="AQ29" i="32"/>
  <c r="AO5" i="35"/>
  <c r="AP4" i="35"/>
  <c r="AO6" i="35"/>
  <c r="AP5" i="35"/>
  <c r="AP6" i="35"/>
  <c r="AO7" i="35"/>
  <c r="AO9" i="35"/>
  <c r="AP11" i="35"/>
  <c r="AP14" i="35"/>
  <c r="AO31" i="35"/>
  <c r="AO33" i="35"/>
  <c r="AO37" i="35"/>
  <c r="AP17" i="35"/>
  <c r="AP38" i="35"/>
  <c r="AP43" i="35"/>
  <c r="AP45" i="35"/>
  <c r="AO30" i="35"/>
  <c r="AP15" i="35"/>
  <c r="AO22" i="35"/>
  <c r="AO40" i="35"/>
  <c r="AP35" i="35"/>
  <c r="AO32" i="35"/>
  <c r="AP32" i="35"/>
  <c r="AO13" i="35"/>
  <c r="AO8" i="35"/>
  <c r="AO12" i="35"/>
  <c r="AO16" i="35"/>
  <c r="AP36" i="35"/>
  <c r="AO38" i="35"/>
  <c r="AP41" i="35"/>
  <c r="AP26" i="35"/>
  <c r="AO20" i="35"/>
  <c r="AP19" i="35"/>
  <c r="AO45" i="35"/>
  <c r="AP33" i="35"/>
  <c r="AP34" i="35"/>
  <c r="AO29" i="35"/>
  <c r="AP12" i="35"/>
  <c r="AO35" i="35"/>
  <c r="AO19" i="35"/>
  <c r="AP16" i="35"/>
  <c r="AP31" i="35"/>
  <c r="AO42" i="35"/>
  <c r="AP42" i="35"/>
  <c r="AP44" i="35"/>
  <c r="AO27" i="35"/>
  <c r="AP21" i="35"/>
  <c r="AP39" i="35"/>
  <c r="AP40" i="35"/>
  <c r="AO23" i="35"/>
  <c r="AO41" i="35"/>
  <c r="AP10" i="35"/>
  <c r="AO39" i="35"/>
  <c r="AO25" i="35"/>
  <c r="AP24" i="35"/>
  <c r="AO17" i="35"/>
  <c r="AP30" i="35"/>
  <c r="AP29" i="35"/>
  <c r="AO18" i="35"/>
  <c r="AP28" i="35"/>
  <c r="AO15" i="35"/>
  <c r="AO11" i="35"/>
  <c r="AP7" i="35"/>
  <c r="AP18" i="35"/>
  <c r="AP8" i="35"/>
  <c r="AO43" i="35"/>
  <c r="AP37" i="35"/>
  <c r="AO26" i="35"/>
  <c r="AP25" i="35"/>
  <c r="AO28" i="35"/>
  <c r="AO24" i="35"/>
  <c r="AO14" i="35"/>
  <c r="AO10" i="35"/>
  <c r="AO44" i="35"/>
  <c r="AO36" i="35"/>
  <c r="AP20" i="35"/>
  <c r="AP22" i="35"/>
  <c r="AP23" i="35"/>
  <c r="AP27" i="35"/>
  <c r="AO34" i="35"/>
  <c r="AO21" i="35"/>
  <c r="AP13" i="35"/>
  <c r="AP9" i="35"/>
  <c r="D74" i="12" l="1"/>
  <c r="H18" i="38"/>
  <c r="K56" i="12"/>
  <c r="K88" i="12" s="1"/>
  <c r="H16" i="38"/>
  <c r="H45" i="38"/>
  <c r="D83" i="12"/>
  <c r="H17" i="38"/>
  <c r="D76" i="12"/>
  <c r="L8" i="12"/>
  <c r="F12" i="38"/>
  <c r="H12" i="38" s="1"/>
  <c r="X54" i="38"/>
  <c r="Y54" i="38" s="1"/>
  <c r="X57" i="38"/>
  <c r="Y57" i="38" s="1"/>
  <c r="D85" i="38"/>
  <c r="H44" i="38"/>
  <c r="F38" i="38"/>
  <c r="H38" i="38" s="1"/>
  <c r="X43" i="38"/>
  <c r="Y43" i="38" s="1"/>
  <c r="F42" i="38"/>
  <c r="H42" i="38" s="1"/>
  <c r="O41" i="38"/>
  <c r="Q41" i="38" s="1"/>
  <c r="F178" i="12"/>
  <c r="G25" i="12"/>
  <c r="L25" i="12" s="1"/>
  <c r="D168" i="12"/>
  <c r="K168" i="12" s="1"/>
  <c r="D43" i="12"/>
  <c r="K43" i="12" s="1"/>
  <c r="K15" i="12"/>
  <c r="G50" i="12"/>
  <c r="K50" i="12" s="1"/>
  <c r="D41" i="12"/>
  <c r="K41" i="12" s="1"/>
  <c r="D166" i="12"/>
  <c r="K166" i="12" s="1"/>
  <c r="K13" i="12"/>
  <c r="F36" i="38"/>
  <c r="H36" i="38" s="1"/>
  <c r="F182" i="12"/>
  <c r="G29" i="12"/>
  <c r="X52" i="38"/>
  <c r="Y52" i="38" s="1"/>
  <c r="X40" i="38"/>
  <c r="Y40" i="38" s="1"/>
  <c r="X44" i="38"/>
  <c r="Y44" i="38" s="1"/>
  <c r="O43" i="38"/>
  <c r="Q43" i="38" s="1"/>
  <c r="D95" i="38"/>
  <c r="X38" i="38"/>
  <c r="Y38" i="38" s="1"/>
  <c r="J101" i="38" s="1"/>
  <c r="O44" i="38"/>
  <c r="L38" i="12"/>
  <c r="D75" i="12"/>
  <c r="G53" i="12"/>
  <c r="K53" i="12" s="1"/>
  <c r="D37" i="12"/>
  <c r="K37" i="12" s="1"/>
  <c r="D162" i="12"/>
  <c r="K162" i="12" s="1"/>
  <c r="K9" i="12"/>
  <c r="F177" i="12"/>
  <c r="G24" i="12"/>
  <c r="E73" i="12" s="1"/>
  <c r="F176" i="12"/>
  <c r="G23" i="12"/>
  <c r="E72" i="12" s="1"/>
  <c r="X58" i="38"/>
  <c r="Y58" i="38" s="1"/>
  <c r="O42" i="38"/>
  <c r="Q42" i="38" s="1"/>
  <c r="X42" i="38"/>
  <c r="Y42" i="38" s="1"/>
  <c r="F40" i="38"/>
  <c r="H40" i="38" s="1"/>
  <c r="O37" i="38"/>
  <c r="Q37" i="38" s="1"/>
  <c r="O36" i="38"/>
  <c r="Q36" i="38" s="1"/>
  <c r="O40" i="38"/>
  <c r="Q40" i="38" s="1"/>
  <c r="D87" i="12"/>
  <c r="D73" i="12"/>
  <c r="L9" i="12"/>
  <c r="E104" i="1"/>
  <c r="E57" i="38"/>
  <c r="E24" i="38"/>
  <c r="E53" i="38"/>
  <c r="E22" i="38"/>
  <c r="E25" i="38"/>
  <c r="E27" i="38"/>
  <c r="N56" i="38"/>
  <c r="O56" i="38" s="1"/>
  <c r="N55" i="38"/>
  <c r="O55" i="38" s="1"/>
  <c r="E54" i="38"/>
  <c r="E32" i="38"/>
  <c r="F32" i="38" s="1"/>
  <c r="H32" i="38" s="1"/>
  <c r="E28" i="38"/>
  <c r="N50" i="38"/>
  <c r="N51" i="38"/>
  <c r="O51" i="38" s="1"/>
  <c r="N58" i="38"/>
  <c r="E52" i="38"/>
  <c r="N52" i="38"/>
  <c r="O52" i="38" s="1"/>
  <c r="N54" i="38"/>
  <c r="O54" i="38" s="1"/>
  <c r="E60" i="38"/>
  <c r="F60" i="38" s="1"/>
  <c r="E58" i="38"/>
  <c r="E23" i="38"/>
  <c r="E55" i="38"/>
  <c r="N59" i="38"/>
  <c r="E56" i="38"/>
  <c r="E51" i="38"/>
  <c r="N60" i="38"/>
  <c r="O60" i="38" s="1"/>
  <c r="E59" i="38"/>
  <c r="E26" i="38"/>
  <c r="N53" i="38"/>
  <c r="O53" i="38" s="1"/>
  <c r="E30" i="38"/>
  <c r="E31" i="38"/>
  <c r="F31" i="38" s="1"/>
  <c r="H31" i="38" s="1"/>
  <c r="J75" i="38" s="1"/>
  <c r="E29" i="38"/>
  <c r="N57" i="38"/>
  <c r="O57" i="38" s="1"/>
  <c r="E50" i="38"/>
  <c r="D36" i="12"/>
  <c r="K36" i="12" s="1"/>
  <c r="K82" i="12" s="1"/>
  <c r="D161" i="12"/>
  <c r="K161" i="12" s="1"/>
  <c r="K8" i="12"/>
  <c r="G22" i="12"/>
  <c r="E71" i="12" s="1"/>
  <c r="F175" i="12"/>
  <c r="G26" i="12"/>
  <c r="L26" i="12" s="1"/>
  <c r="F179" i="12"/>
  <c r="G28" i="12"/>
  <c r="L28" i="12" s="1"/>
  <c r="F181" i="12"/>
  <c r="D42" i="12"/>
  <c r="K42" i="12" s="1"/>
  <c r="D167" i="12"/>
  <c r="K167" i="12" s="1"/>
  <c r="K14" i="12"/>
  <c r="G54" i="12"/>
  <c r="K54" i="12" s="1"/>
  <c r="X56" i="38"/>
  <c r="Y56" i="38" s="1"/>
  <c r="I37" i="38"/>
  <c r="F37" i="38"/>
  <c r="H37" i="38" s="1"/>
  <c r="O38" i="38"/>
  <c r="Q38" i="38" s="1"/>
  <c r="O45" i="38"/>
  <c r="R45" i="38"/>
  <c r="F8" i="38"/>
  <c r="H8" i="38" s="1"/>
  <c r="F9" i="38"/>
  <c r="H9" i="38" s="1"/>
  <c r="G27" i="12"/>
  <c r="E76" i="12" s="1"/>
  <c r="F180" i="12"/>
  <c r="G55" i="12"/>
  <c r="K55" i="12" s="1"/>
  <c r="D39" i="12"/>
  <c r="K39" i="12" s="1"/>
  <c r="D164" i="12"/>
  <c r="K164" i="12" s="1"/>
  <c r="K11" i="12"/>
  <c r="G51" i="12"/>
  <c r="K51" i="12" s="1"/>
  <c r="G57" i="12"/>
  <c r="E89" i="12" s="1"/>
  <c r="G20" i="12"/>
  <c r="L20" i="12" s="1"/>
  <c r="D44" i="12"/>
  <c r="K16" i="12"/>
  <c r="D159" i="12"/>
  <c r="K159" i="12" s="1"/>
  <c r="C39" i="11"/>
  <c r="D34" i="12"/>
  <c r="K34" i="12" s="1"/>
  <c r="K6" i="12"/>
  <c r="X53" i="38"/>
  <c r="Y53" i="38" s="1"/>
  <c r="G48" i="12"/>
  <c r="K48" i="12" s="1"/>
  <c r="F15" i="38"/>
  <c r="H15" i="38" s="1"/>
  <c r="D104" i="38"/>
  <c r="X41" i="38"/>
  <c r="Y41" i="38" s="1"/>
  <c r="X37" i="38"/>
  <c r="Y37" i="38" s="1"/>
  <c r="D82" i="38"/>
  <c r="I41" i="38"/>
  <c r="F41" i="38"/>
  <c r="H41" i="38" s="1"/>
  <c r="F183" i="12"/>
  <c r="G30" i="12"/>
  <c r="F174" i="12"/>
  <c r="G21" i="12"/>
  <c r="L21" i="12" s="1"/>
  <c r="E70" i="12"/>
  <c r="D160" i="12"/>
  <c r="K160" i="12" s="1"/>
  <c r="D35" i="12"/>
  <c r="K35" i="12" s="1"/>
  <c r="K7" i="12"/>
  <c r="F43" i="38"/>
  <c r="H43" i="38" s="1"/>
  <c r="Z59" i="38"/>
  <c r="Y59" i="38"/>
  <c r="X39" i="38"/>
  <c r="Y39" i="38" s="1"/>
  <c r="O39" i="38"/>
  <c r="Q39" i="38" s="1"/>
  <c r="X36" i="38"/>
  <c r="Y36" i="38" s="1"/>
  <c r="J99" i="38" s="1"/>
  <c r="X51" i="38"/>
  <c r="Y51" i="38" s="1"/>
  <c r="F14" i="38"/>
  <c r="H14" i="38" s="1"/>
  <c r="Z55" i="38"/>
  <c r="K107" i="38" s="1"/>
  <c r="X55" i="38"/>
  <c r="Y55" i="38" s="1"/>
  <c r="X50" i="38"/>
  <c r="Y50" i="38" s="1"/>
  <c r="E99" i="38"/>
  <c r="X45" i="38"/>
  <c r="Y45" i="38" s="1"/>
  <c r="F13" i="38"/>
  <c r="H13" i="38" s="1"/>
  <c r="F39" i="38"/>
  <c r="H39" i="38" s="1"/>
  <c r="F10" i="38"/>
  <c r="H10" i="38" s="1"/>
  <c r="F11" i="38"/>
  <c r="H11" i="38" s="1"/>
  <c r="D85" i="12"/>
  <c r="D38" i="12"/>
  <c r="K38" i="12" s="1"/>
  <c r="D163" i="12"/>
  <c r="K163" i="12" s="1"/>
  <c r="K10" i="12"/>
  <c r="G49" i="12"/>
  <c r="K49" i="12" s="1"/>
  <c r="L49" i="12"/>
  <c r="D40" i="12"/>
  <c r="K40" i="12" s="1"/>
  <c r="K86" i="12" s="1"/>
  <c r="D165" i="12"/>
  <c r="K165" i="12" s="1"/>
  <c r="K12" i="12"/>
  <c r="G52" i="12"/>
  <c r="K52" i="12" s="1"/>
  <c r="L52" i="12"/>
  <c r="AQ9" i="35"/>
  <c r="AQ8" i="35"/>
  <c r="AQ40" i="35"/>
  <c r="AQ34" i="35"/>
  <c r="AQ15" i="35"/>
  <c r="AQ5" i="35"/>
  <c r="AQ13" i="35"/>
  <c r="AQ18" i="35"/>
  <c r="AQ39" i="35"/>
  <c r="AQ33" i="35"/>
  <c r="AQ45" i="35"/>
  <c r="AQ4" i="35"/>
  <c r="AR4" i="35" s="1"/>
  <c r="AQ27" i="35"/>
  <c r="AQ7" i="35"/>
  <c r="AQ21" i="35"/>
  <c r="AQ19" i="35"/>
  <c r="AQ43" i="35"/>
  <c r="AR4" i="32"/>
  <c r="AQ23" i="35"/>
  <c r="AQ28" i="35"/>
  <c r="AQ44" i="35"/>
  <c r="AQ26" i="35"/>
  <c r="AQ38" i="35"/>
  <c r="AQ22" i="35"/>
  <c r="AQ29" i="35"/>
  <c r="AQ42" i="35"/>
  <c r="AQ41" i="35"/>
  <c r="AQ17" i="35"/>
  <c r="AQ20" i="35"/>
  <c r="AQ30" i="35"/>
  <c r="AQ31" i="35"/>
  <c r="AQ36" i="35"/>
  <c r="AQ14" i="35"/>
  <c r="AQ25" i="35"/>
  <c r="AQ24" i="35"/>
  <c r="AQ16" i="35"/>
  <c r="AQ32" i="35"/>
  <c r="AQ11" i="35"/>
  <c r="AQ37" i="35"/>
  <c r="AQ10" i="35"/>
  <c r="AQ12" i="35"/>
  <c r="AQ35" i="35"/>
  <c r="AQ6" i="35"/>
  <c r="AR5" i="35"/>
  <c r="AR5" i="32"/>
  <c r="AR6" i="35"/>
  <c r="AR7" i="35"/>
  <c r="AR27" i="35"/>
  <c r="AR42" i="35"/>
  <c r="AR41" i="35"/>
  <c r="AR13" i="35"/>
  <c r="AR23" i="35"/>
  <c r="AR18" i="35"/>
  <c r="AR14" i="35"/>
  <c r="AR38" i="35"/>
  <c r="AR26" i="35"/>
  <c r="AR29" i="35"/>
  <c r="AR43" i="35"/>
  <c r="AR35" i="35"/>
  <c r="AR37" i="35"/>
  <c r="AR22" i="35"/>
  <c r="AR36" i="35"/>
  <c r="AR21" i="35"/>
  <c r="AR16" i="35"/>
  <c r="AR31" i="35"/>
  <c r="AR15" i="35"/>
  <c r="AR19" i="35"/>
  <c r="AR45" i="35"/>
  <c r="AR28" i="35"/>
  <c r="AR6" i="32"/>
  <c r="AR7" i="32"/>
  <c r="AR8" i="32"/>
  <c r="AR30" i="32"/>
  <c r="AR13" i="32"/>
  <c r="AR43" i="32"/>
  <c r="AR32" i="32"/>
  <c r="AR33" i="32"/>
  <c r="AR42" i="32"/>
  <c r="AR22" i="32"/>
  <c r="AR16" i="32"/>
  <c r="AR44" i="32"/>
  <c r="AR36" i="32"/>
  <c r="AR38" i="32"/>
  <c r="AR15" i="32"/>
  <c r="AR11" i="32"/>
  <c r="AR31" i="32"/>
  <c r="AR23" i="32"/>
  <c r="AR29" i="32"/>
  <c r="AR9" i="32"/>
  <c r="AR37" i="32"/>
  <c r="AR17" i="32"/>
  <c r="AR40" i="32"/>
  <c r="AR24" i="32"/>
  <c r="AR39" i="32"/>
  <c r="AR26" i="32"/>
  <c r="AR19" i="32"/>
  <c r="AR14" i="32"/>
  <c r="AR41" i="32"/>
  <c r="AR27" i="32"/>
  <c r="AR45" i="32"/>
  <c r="AR28" i="32"/>
  <c r="AR10" i="32"/>
  <c r="AR21" i="32"/>
  <c r="AR12" i="32"/>
  <c r="AR33" i="35"/>
  <c r="AR20" i="35"/>
  <c r="AR10" i="35"/>
  <c r="AR24" i="35"/>
  <c r="AR17" i="35"/>
  <c r="AR9" i="35"/>
  <c r="AR11" i="35"/>
  <c r="AR44" i="35"/>
  <c r="AR8" i="35"/>
  <c r="AR39" i="35"/>
  <c r="AR32" i="35"/>
  <c r="AR30" i="35"/>
  <c r="AR34" i="35"/>
  <c r="AR12" i="35"/>
  <c r="AR25" i="35"/>
  <c r="AR40" i="35"/>
  <c r="AR25" i="32"/>
  <c r="AR35" i="32"/>
  <c r="AR34" i="32"/>
  <c r="AR18" i="32"/>
  <c r="AR20" i="32"/>
  <c r="I14" i="38" l="1"/>
  <c r="D84" i="38"/>
  <c r="I15" i="38"/>
  <c r="R40" i="38"/>
  <c r="D105" i="38"/>
  <c r="R42" i="38"/>
  <c r="R43" i="38"/>
  <c r="D93" i="38"/>
  <c r="I9" i="38"/>
  <c r="D107" i="38"/>
  <c r="J102" i="38"/>
  <c r="J103" i="38"/>
  <c r="P53" i="13" s="1"/>
  <c r="Z54" i="38"/>
  <c r="K106" i="38" s="1"/>
  <c r="D89" i="38"/>
  <c r="Z50" i="38"/>
  <c r="K102" i="38" s="1"/>
  <c r="I8" i="38"/>
  <c r="I40" i="38"/>
  <c r="I42" i="38"/>
  <c r="Z45" i="38"/>
  <c r="J108" i="38"/>
  <c r="D58" i="37" s="1"/>
  <c r="E58" i="37" s="1"/>
  <c r="L57" i="12"/>
  <c r="E87" i="12"/>
  <c r="L53" i="12"/>
  <c r="D83" i="38"/>
  <c r="D69" i="38"/>
  <c r="D108" i="38"/>
  <c r="J104" i="38"/>
  <c r="D54" i="37" s="1"/>
  <c r="E54" i="37" s="1"/>
  <c r="K57" i="12"/>
  <c r="K89" i="12" s="1"/>
  <c r="L27" i="12"/>
  <c r="D66" i="38"/>
  <c r="D78" i="38"/>
  <c r="D92" i="38"/>
  <c r="Z42" i="38"/>
  <c r="J107" i="38"/>
  <c r="D57" i="37" s="1"/>
  <c r="E57" i="37" s="1"/>
  <c r="D77" i="38"/>
  <c r="J106" i="38"/>
  <c r="I11" i="38"/>
  <c r="Z36" i="38"/>
  <c r="I43" i="38"/>
  <c r="D94" i="38"/>
  <c r="I38" i="38"/>
  <c r="E84" i="12"/>
  <c r="D80" i="38"/>
  <c r="R39" i="38"/>
  <c r="K85" i="12"/>
  <c r="R38" i="38"/>
  <c r="Z58" i="38"/>
  <c r="Z38" i="38"/>
  <c r="Z52" i="38"/>
  <c r="K104" i="38" s="1"/>
  <c r="R41" i="38"/>
  <c r="K84" i="12"/>
  <c r="L55" i="12"/>
  <c r="D90" i="38"/>
  <c r="AS20" i="32"/>
  <c r="AS18" i="32"/>
  <c r="AS34" i="32"/>
  <c r="AS35" i="32"/>
  <c r="AS25" i="32"/>
  <c r="AS40" i="35"/>
  <c r="AS25" i="35"/>
  <c r="AS12" i="35"/>
  <c r="AS34" i="35"/>
  <c r="AS30" i="35"/>
  <c r="AS32" i="35"/>
  <c r="AS39" i="35"/>
  <c r="AS8" i="35"/>
  <c r="AS44" i="35"/>
  <c r="AS11" i="35"/>
  <c r="AS9" i="35"/>
  <c r="AS17" i="35"/>
  <c r="AS24" i="35"/>
  <c r="AS10" i="35"/>
  <c r="AS20" i="35"/>
  <c r="AS33" i="35"/>
  <c r="AS12" i="32"/>
  <c r="AS21" i="32"/>
  <c r="AS10" i="32"/>
  <c r="AS28" i="32"/>
  <c r="AS45" i="32"/>
  <c r="AS27" i="32"/>
  <c r="AS41" i="32"/>
  <c r="AS14" i="32"/>
  <c r="AS19" i="32"/>
  <c r="AS26" i="32"/>
  <c r="AS39" i="32"/>
  <c r="AS24" i="32"/>
  <c r="AS40" i="32"/>
  <c r="AS17" i="32"/>
  <c r="AS37" i="32"/>
  <c r="AS9" i="32"/>
  <c r="AS29" i="32"/>
  <c r="AS23" i="32"/>
  <c r="AS31" i="32"/>
  <c r="AS11" i="32"/>
  <c r="AS15" i="32"/>
  <c r="AS38" i="32"/>
  <c r="AS36" i="32"/>
  <c r="AS44" i="32"/>
  <c r="AS16" i="32"/>
  <c r="AS22" i="32"/>
  <c r="AS42" i="32"/>
  <c r="AS33" i="32"/>
  <c r="AS32" i="32"/>
  <c r="AS43" i="32"/>
  <c r="AS13" i="32"/>
  <c r="AS30" i="32"/>
  <c r="AS8" i="32"/>
  <c r="AS7" i="32"/>
  <c r="AS28" i="35"/>
  <c r="AS45" i="35"/>
  <c r="AS19" i="35"/>
  <c r="AS15" i="35"/>
  <c r="AS31" i="35"/>
  <c r="AS16" i="35"/>
  <c r="AS21" i="35"/>
  <c r="AS36" i="35"/>
  <c r="AS22" i="35"/>
  <c r="AS37" i="35"/>
  <c r="AS35" i="35"/>
  <c r="AS43" i="35"/>
  <c r="AS29" i="35"/>
  <c r="AS26" i="35"/>
  <c r="AS38" i="35"/>
  <c r="AS14" i="35"/>
  <c r="AS18" i="35"/>
  <c r="AS23" i="35"/>
  <c r="AS13" i="35"/>
  <c r="AS41" i="35"/>
  <c r="AS42" i="35"/>
  <c r="AS27" i="35"/>
  <c r="AS7" i="35"/>
  <c r="D53" i="37"/>
  <c r="E53" i="37" s="1"/>
  <c r="D71" i="38"/>
  <c r="J11" i="13"/>
  <c r="J12" i="13" s="1"/>
  <c r="J13" i="13" s="1"/>
  <c r="J14" i="13" s="1"/>
  <c r="D68" i="38"/>
  <c r="D72" i="38"/>
  <c r="D91" i="38"/>
  <c r="D100" i="38"/>
  <c r="E80" i="12"/>
  <c r="E83" i="12"/>
  <c r="F29" i="38"/>
  <c r="H29" i="38" s="1"/>
  <c r="J73" i="38" s="1"/>
  <c r="E83" i="38"/>
  <c r="F56" i="38"/>
  <c r="H56" i="38" s="1"/>
  <c r="J83" i="38" s="1"/>
  <c r="I52" i="38"/>
  <c r="F52" i="38"/>
  <c r="H52" i="38" s="1"/>
  <c r="J79" i="38" s="1"/>
  <c r="R56" i="38"/>
  <c r="Q56" i="38"/>
  <c r="J94" i="38" s="1"/>
  <c r="E94" i="38"/>
  <c r="R36" i="38"/>
  <c r="L23" i="12"/>
  <c r="D96" i="38"/>
  <c r="Q44" i="38"/>
  <c r="P57" i="13"/>
  <c r="E82" i="12"/>
  <c r="D106" i="38"/>
  <c r="G183" i="12"/>
  <c r="K183" i="12" s="1"/>
  <c r="K30" i="12"/>
  <c r="K79" i="12" s="1"/>
  <c r="P54" i="13"/>
  <c r="L75" i="38"/>
  <c r="C195" i="13" s="1"/>
  <c r="D22" i="37"/>
  <c r="E22" i="37" s="1"/>
  <c r="O59" i="38"/>
  <c r="O58" i="38"/>
  <c r="R58" i="38" s="1"/>
  <c r="F27" i="38"/>
  <c r="K83" i="12"/>
  <c r="D51" i="37"/>
  <c r="E51" i="37" s="1"/>
  <c r="P51" i="13"/>
  <c r="F295" i="13"/>
  <c r="F30" i="38"/>
  <c r="H30" i="38" s="1"/>
  <c r="I30" i="38"/>
  <c r="F25" i="38"/>
  <c r="H25" i="38" s="1"/>
  <c r="J69" i="38" s="1"/>
  <c r="I39" i="38"/>
  <c r="Z51" i="38"/>
  <c r="K103" i="38" s="1"/>
  <c r="F895" i="13" s="1"/>
  <c r="D102" i="38"/>
  <c r="K81" i="12"/>
  <c r="Z41" i="38"/>
  <c r="Z53" i="38"/>
  <c r="K105" i="38" s="1"/>
  <c r="E69" i="12"/>
  <c r="G173" i="12"/>
  <c r="K20" i="12"/>
  <c r="K69" i="12" s="1"/>
  <c r="G180" i="12"/>
  <c r="K180" i="12" s="1"/>
  <c r="K98" i="12" s="1"/>
  <c r="N76" i="13" s="1"/>
  <c r="K27" i="12"/>
  <c r="K76" i="12" s="1"/>
  <c r="D97" i="38"/>
  <c r="Q45" i="38"/>
  <c r="Z56" i="38"/>
  <c r="K108" i="38" s="1"/>
  <c r="R53" i="38"/>
  <c r="Q53" i="38"/>
  <c r="J91" i="38" s="1"/>
  <c r="E91" i="38"/>
  <c r="F23" i="38"/>
  <c r="H23" i="38" s="1"/>
  <c r="O50" i="38"/>
  <c r="F22" i="38"/>
  <c r="H22" i="38" s="1"/>
  <c r="J66" i="38" s="1"/>
  <c r="R37" i="38"/>
  <c r="E85" i="12"/>
  <c r="D101" i="38"/>
  <c r="Z40" i="38"/>
  <c r="I36" i="38"/>
  <c r="D79" i="38"/>
  <c r="D70" i="38"/>
  <c r="R51" i="38"/>
  <c r="Q51" i="38"/>
  <c r="J89" i="38" s="1"/>
  <c r="E89" i="38"/>
  <c r="F947" i="13"/>
  <c r="F393" i="13"/>
  <c r="F1662" i="13"/>
  <c r="F1303" i="13"/>
  <c r="F1173" i="13"/>
  <c r="F410" i="13"/>
  <c r="F958" i="13"/>
  <c r="F1094" i="13"/>
  <c r="F772" i="13"/>
  <c r="F1725" i="13"/>
  <c r="F1431" i="13"/>
  <c r="F12" i="13"/>
  <c r="F503" i="13"/>
  <c r="F759" i="13"/>
  <c r="F38" i="13"/>
  <c r="F1461" i="13"/>
  <c r="F1250" i="13"/>
  <c r="F126" i="13"/>
  <c r="F343" i="13"/>
  <c r="F540" i="13"/>
  <c r="F1397" i="13"/>
  <c r="F559" i="13"/>
  <c r="F1549" i="13"/>
  <c r="Z39" i="38"/>
  <c r="J67" i="38"/>
  <c r="E86" i="12"/>
  <c r="E77" i="12"/>
  <c r="G181" i="12"/>
  <c r="K181" i="12" s="1"/>
  <c r="K99" i="12" s="1"/>
  <c r="N77" i="13" s="1"/>
  <c r="K28" i="12"/>
  <c r="K77" i="12" s="1"/>
  <c r="F26" i="38"/>
  <c r="H26" i="38" s="1"/>
  <c r="J70" i="38" s="1"/>
  <c r="F58" i="38"/>
  <c r="H58" i="38" s="1"/>
  <c r="I58" i="38"/>
  <c r="F28" i="38"/>
  <c r="H28" i="38" s="1"/>
  <c r="J72" i="38" s="1"/>
  <c r="F53" i="38"/>
  <c r="H53" i="38" s="1"/>
  <c r="J80" i="38" s="1"/>
  <c r="D103" i="38"/>
  <c r="I12" i="38"/>
  <c r="L22" i="12"/>
  <c r="G175" i="12"/>
  <c r="K22" i="12"/>
  <c r="K71" i="12" s="1"/>
  <c r="P59" i="13"/>
  <c r="P79" i="13" s="1"/>
  <c r="D49" i="37"/>
  <c r="E49" i="37" s="1"/>
  <c r="P49" i="13"/>
  <c r="F100" i="13"/>
  <c r="E81" i="12"/>
  <c r="I13" i="38"/>
  <c r="D99" i="38"/>
  <c r="D73" i="38"/>
  <c r="K80" i="12"/>
  <c r="D67" i="38"/>
  <c r="L54" i="12"/>
  <c r="F59" i="38"/>
  <c r="H59" i="38" s="1"/>
  <c r="F24" i="38"/>
  <c r="H24" i="38" s="1"/>
  <c r="J68" i="38" s="1"/>
  <c r="D81" i="38"/>
  <c r="L24" i="12"/>
  <c r="G177" i="12"/>
  <c r="K177" i="12" s="1"/>
  <c r="K95" i="12" s="1"/>
  <c r="N73" i="13" s="1"/>
  <c r="K24" i="12"/>
  <c r="K73" i="12" s="1"/>
  <c r="F55" i="38"/>
  <c r="H55" i="38" s="1"/>
  <c r="J82" i="38" s="1"/>
  <c r="G176" i="12"/>
  <c r="K23" i="12"/>
  <c r="K72" i="12" s="1"/>
  <c r="I50" i="38"/>
  <c r="E77" i="38"/>
  <c r="F50" i="38"/>
  <c r="H50" i="38" s="1"/>
  <c r="J77" i="38" s="1"/>
  <c r="R54" i="38"/>
  <c r="Q54" i="38"/>
  <c r="J92" i="38" s="1"/>
  <c r="E92" i="38"/>
  <c r="F54" i="38"/>
  <c r="H54" i="38" s="1"/>
  <c r="J81" i="38" s="1"/>
  <c r="F57" i="38"/>
  <c r="H57" i="38" s="1"/>
  <c r="J84" i="38" s="1"/>
  <c r="L177" i="12"/>
  <c r="K87" i="12"/>
  <c r="E74" i="12"/>
  <c r="G178" i="12"/>
  <c r="K178" i="12" s="1"/>
  <c r="K96" i="12" s="1"/>
  <c r="N74" i="13" s="1"/>
  <c r="K25" i="12"/>
  <c r="K74" i="12" s="1"/>
  <c r="D56" i="37"/>
  <c r="E56" i="37" s="1"/>
  <c r="P56" i="13"/>
  <c r="D52" i="37"/>
  <c r="E52" i="37" s="1"/>
  <c r="P52" i="13"/>
  <c r="J100" i="38"/>
  <c r="I10" i="38"/>
  <c r="G174" i="12"/>
  <c r="K21" i="12"/>
  <c r="K70" i="12" s="1"/>
  <c r="Z37" i="38"/>
  <c r="L48" i="12"/>
  <c r="L51" i="12"/>
  <c r="E75" i="12"/>
  <c r="G179" i="12"/>
  <c r="K179" i="12" s="1"/>
  <c r="K97" i="12" s="1"/>
  <c r="N75" i="13" s="1"/>
  <c r="K26" i="12"/>
  <c r="K75" i="12" s="1"/>
  <c r="R57" i="38"/>
  <c r="Q57" i="38"/>
  <c r="J95" i="38" s="1"/>
  <c r="E95" i="38"/>
  <c r="I51" i="38"/>
  <c r="E78" i="38"/>
  <c r="F51" i="38"/>
  <c r="H51" i="38" s="1"/>
  <c r="J78" i="38" s="1"/>
  <c r="R52" i="38"/>
  <c r="Q52" i="38"/>
  <c r="J90" i="38" s="1"/>
  <c r="E90" i="38"/>
  <c r="R55" i="38"/>
  <c r="Q55" i="38"/>
  <c r="J93" i="38" s="1"/>
  <c r="E93" i="38"/>
  <c r="D88" i="38"/>
  <c r="J105" i="38"/>
  <c r="R44" i="38"/>
  <c r="Z44" i="38"/>
  <c r="G182" i="12"/>
  <c r="K29" i="12"/>
  <c r="K78" i="12" s="1"/>
  <c r="L50" i="12"/>
  <c r="L178" i="12"/>
  <c r="Z43" i="38"/>
  <c r="Z57" i="38"/>
  <c r="K109" i="38" s="1"/>
  <c r="AS5" i="32"/>
  <c r="AS5" i="35"/>
  <c r="AS4" i="32"/>
  <c r="AS4" i="35"/>
  <c r="AS6" i="32"/>
  <c r="AS6" i="35"/>
  <c r="F840" i="13" l="1"/>
  <c r="F1605" i="13"/>
  <c r="F1598" i="13"/>
  <c r="F1592" i="13"/>
  <c r="F783" i="13"/>
  <c r="I53" i="38"/>
  <c r="P58" i="13"/>
  <c r="E80" i="38"/>
  <c r="F670" i="13"/>
  <c r="F432" i="13"/>
  <c r="F479" i="13"/>
  <c r="F208" i="13"/>
  <c r="F978" i="13"/>
  <c r="I25" i="38"/>
  <c r="I29" i="38"/>
  <c r="F1222" i="13"/>
  <c r="L180" i="12"/>
  <c r="F387" i="13"/>
  <c r="F423" i="13"/>
  <c r="F1567" i="13"/>
  <c r="F588" i="13"/>
  <c r="E69" i="38"/>
  <c r="I26" i="38"/>
  <c r="F386" i="13"/>
  <c r="F946" i="13"/>
  <c r="F808" i="13"/>
  <c r="F458" i="13"/>
  <c r="E81" i="38"/>
  <c r="I24" i="38"/>
  <c r="E72" i="38"/>
  <c r="F966" i="13"/>
  <c r="F967" i="13"/>
  <c r="F1700" i="13"/>
  <c r="F1268" i="13"/>
  <c r="F934" i="13"/>
  <c r="F83" i="13"/>
  <c r="F961" i="13"/>
  <c r="F687" i="13"/>
  <c r="F667" i="13"/>
  <c r="F1177" i="13"/>
  <c r="F1182" i="13"/>
  <c r="F1356" i="13"/>
  <c r="F660" i="13"/>
  <c r="F1003" i="13"/>
  <c r="F185" i="13"/>
  <c r="F552" i="13"/>
  <c r="F21" i="13"/>
  <c r="F1141" i="13"/>
  <c r="F322" i="13"/>
  <c r="E70" i="38"/>
  <c r="F135" i="13"/>
  <c r="F1011" i="13"/>
  <c r="F435" i="13"/>
  <c r="F385" i="13"/>
  <c r="F1416" i="13"/>
  <c r="F1721" i="13"/>
  <c r="F861" i="13"/>
  <c r="F1167" i="13"/>
  <c r="F1419" i="13"/>
  <c r="E66" i="38"/>
  <c r="E73" i="38"/>
  <c r="F1112" i="13"/>
  <c r="F193" i="13"/>
  <c r="F1349" i="13"/>
  <c r="E68" i="38"/>
  <c r="F1192" i="13"/>
  <c r="F35" i="13"/>
  <c r="F756" i="13"/>
  <c r="F81" i="13"/>
  <c r="D50" i="37"/>
  <c r="E50" i="37" s="1"/>
  <c r="F198" i="13"/>
  <c r="P50" i="13"/>
  <c r="L84" i="1"/>
  <c r="P69" i="13"/>
  <c r="D28" i="37"/>
  <c r="E28" i="37" s="1"/>
  <c r="L80" i="38"/>
  <c r="L52" i="13"/>
  <c r="K36" i="13"/>
  <c r="L70" i="38"/>
  <c r="C132" i="13" s="1"/>
  <c r="J53" i="13"/>
  <c r="D17" i="37"/>
  <c r="E17" i="37" s="1"/>
  <c r="K7" i="13"/>
  <c r="K29" i="13"/>
  <c r="F1620" i="13"/>
  <c r="F9" i="13"/>
  <c r="F668" i="13"/>
  <c r="F1646" i="13"/>
  <c r="F1319" i="13"/>
  <c r="F262" i="13"/>
  <c r="F816" i="13"/>
  <c r="F564" i="13"/>
  <c r="F575" i="13"/>
  <c r="F1198" i="13"/>
  <c r="F1357" i="13"/>
  <c r="F1392" i="13"/>
  <c r="F23" i="13"/>
  <c r="F1149" i="13"/>
  <c r="F1179" i="13"/>
  <c r="F814" i="13"/>
  <c r="F847" i="13"/>
  <c r="F1732" i="13"/>
  <c r="F122" i="13"/>
  <c r="F1622" i="13"/>
  <c r="F866" i="13"/>
  <c r="F526" i="13"/>
  <c r="F1471" i="13"/>
  <c r="F539" i="13"/>
  <c r="F357" i="13"/>
  <c r="F959" i="13"/>
  <c r="F711" i="13"/>
  <c r="F784" i="13"/>
  <c r="F1609" i="13"/>
  <c r="F1102" i="13"/>
  <c r="F1190" i="13"/>
  <c r="F1365" i="13"/>
  <c r="F318" i="13"/>
  <c r="F22" i="13"/>
  <c r="F1194" i="13"/>
  <c r="F1606" i="13"/>
  <c r="F811" i="13"/>
  <c r="F873" i="13"/>
  <c r="F47" i="13"/>
  <c r="F1389" i="13"/>
  <c r="F37" i="13"/>
  <c r="F400" i="13"/>
  <c r="F1330" i="13"/>
  <c r="F440" i="13"/>
  <c r="F1374" i="13"/>
  <c r="F446" i="13"/>
  <c r="F508" i="13"/>
  <c r="F496" i="13"/>
  <c r="F82" i="13"/>
  <c r="F461" i="13"/>
  <c r="F450" i="13"/>
  <c r="F1008" i="13"/>
  <c r="F1254" i="13"/>
  <c r="F931" i="13"/>
  <c r="F324" i="13"/>
  <c r="F268" i="13"/>
  <c r="F1160" i="13"/>
  <c r="F986" i="13"/>
  <c r="F1187" i="13"/>
  <c r="F315" i="13"/>
  <c r="F1080" i="13"/>
  <c r="F905" i="13"/>
  <c r="F896" i="13"/>
  <c r="F795" i="13"/>
  <c r="F535" i="13"/>
  <c r="F1238" i="13"/>
  <c r="F319" i="13"/>
  <c r="L88" i="1"/>
  <c r="P73" i="13"/>
  <c r="P72" i="13"/>
  <c r="L87" i="1"/>
  <c r="F1468" i="13"/>
  <c r="F537" i="13"/>
  <c r="F1636" i="13"/>
  <c r="F876" i="13"/>
  <c r="F1566" i="13"/>
  <c r="F286" i="13"/>
  <c r="F25" i="13"/>
  <c r="F807" i="13"/>
  <c r="F923" i="13"/>
  <c r="F399" i="13"/>
  <c r="F1404" i="13"/>
  <c r="F191" i="13"/>
  <c r="F368" i="13"/>
  <c r="F1425" i="13"/>
  <c r="F907" i="13"/>
  <c r="F1512" i="13"/>
  <c r="F1731" i="13"/>
  <c r="F1642" i="13"/>
  <c r="F190" i="13"/>
  <c r="F1520" i="13"/>
  <c r="F1138" i="13"/>
  <c r="F1516" i="13"/>
  <c r="F515" i="13"/>
  <c r="F1202" i="13"/>
  <c r="F1242" i="13"/>
  <c r="F1637" i="13"/>
  <c r="F1474" i="13"/>
  <c r="F314" i="13"/>
  <c r="F1048" i="13"/>
  <c r="F997" i="13"/>
  <c r="F1403" i="13"/>
  <c r="F93" i="13"/>
  <c r="F563" i="13"/>
  <c r="F26" i="13"/>
  <c r="F1442" i="13"/>
  <c r="F465" i="13"/>
  <c r="F536" i="13"/>
  <c r="F436" i="13"/>
  <c r="F1090" i="13"/>
  <c r="F1098" i="13"/>
  <c r="F1666" i="13"/>
  <c r="F235" i="13"/>
  <c r="F11" i="13"/>
  <c r="F744" i="13"/>
  <c r="F1039" i="13"/>
  <c r="F59" i="13"/>
  <c r="F1038" i="13"/>
  <c r="F1491" i="13"/>
  <c r="F493" i="13"/>
  <c r="F274" i="13"/>
  <c r="F64" i="13"/>
  <c r="F979" i="13"/>
  <c r="F84" i="13"/>
  <c r="F492" i="13"/>
  <c r="F1153" i="13"/>
  <c r="F181" i="13"/>
  <c r="F383" i="13"/>
  <c r="F1463" i="13"/>
  <c r="F396" i="13"/>
  <c r="F39" i="13"/>
  <c r="F1675" i="13"/>
  <c r="F1328" i="13"/>
  <c r="F842" i="13"/>
  <c r="F713" i="13"/>
  <c r="F145" i="13"/>
  <c r="F940" i="13"/>
  <c r="F675" i="13"/>
  <c r="F1130" i="13"/>
  <c r="F171" i="13"/>
  <c r="F644" i="13"/>
  <c r="F427" i="13"/>
  <c r="F858" i="13"/>
  <c r="F565" i="13"/>
  <c r="F623" i="13"/>
  <c r="F1211" i="13"/>
  <c r="F1055" i="13"/>
  <c r="F1058" i="13"/>
  <c r="F1584" i="13"/>
  <c r="F538" i="13"/>
  <c r="F1305" i="13"/>
  <c r="F194" i="13"/>
  <c r="F1586" i="13"/>
  <c r="F1154" i="13"/>
  <c r="F455" i="13"/>
  <c r="F1049" i="13"/>
  <c r="F1494" i="13"/>
  <c r="F311" i="13"/>
  <c r="F628" i="13"/>
  <c r="F733" i="13"/>
  <c r="F294" i="13"/>
  <c r="F518" i="13"/>
  <c r="F1110" i="13"/>
  <c r="F46" i="13"/>
  <c r="F1127" i="13"/>
  <c r="F1120" i="13"/>
  <c r="F894" i="13"/>
  <c r="F1718" i="13"/>
  <c r="F1136" i="13"/>
  <c r="F522" i="13"/>
  <c r="F270" i="13"/>
  <c r="F1188" i="13"/>
  <c r="F363" i="13"/>
  <c r="F376" i="13"/>
  <c r="F408" i="13"/>
  <c r="F131" i="13"/>
  <c r="F1017" i="13"/>
  <c r="F709" i="13"/>
  <c r="F1226" i="13"/>
  <c r="F936" i="13"/>
  <c r="F1508" i="13"/>
  <c r="F785" i="13"/>
  <c r="F901" i="13"/>
  <c r="F574" i="13"/>
  <c r="F29" i="13"/>
  <c r="F1113" i="13"/>
  <c r="F1354" i="13"/>
  <c r="F1060" i="13"/>
  <c r="F1297" i="13"/>
  <c r="F1640" i="13"/>
  <c r="F1655" i="13"/>
  <c r="F1641" i="13"/>
  <c r="F413" i="13"/>
  <c r="F1351" i="13"/>
  <c r="F113" i="13"/>
  <c r="F480" i="13"/>
  <c r="F1100" i="13"/>
  <c r="F666" i="13"/>
  <c r="F99" i="13"/>
  <c r="F160" i="13"/>
  <c r="F737" i="13"/>
  <c r="F1333" i="13"/>
  <c r="F55" i="13"/>
  <c r="F1074" i="13"/>
  <c r="F1000" i="13"/>
  <c r="F734" i="13"/>
  <c r="F768" i="13"/>
  <c r="F939" i="13"/>
  <c r="F266" i="13"/>
  <c r="F33" i="13"/>
  <c r="F1208" i="13"/>
  <c r="F865" i="13"/>
  <c r="F672" i="13"/>
  <c r="F57" i="13"/>
  <c r="F774" i="13"/>
  <c r="F698" i="13"/>
  <c r="F1522" i="13"/>
  <c r="F716" i="13"/>
  <c r="F1435" i="13"/>
  <c r="F460" i="13"/>
  <c r="F942" i="13"/>
  <c r="F701" i="13"/>
  <c r="F1444" i="13"/>
  <c r="F128" i="13"/>
  <c r="F943" i="13"/>
  <c r="F1262" i="13"/>
  <c r="F1381" i="13"/>
  <c r="F853" i="13"/>
  <c r="F592" i="13"/>
  <c r="F992" i="13"/>
  <c r="F1239" i="13"/>
  <c r="F1378" i="13"/>
  <c r="F1560" i="13"/>
  <c r="F984" i="13"/>
  <c r="F962" i="13"/>
  <c r="F203" i="13"/>
  <c r="F151" i="13"/>
  <c r="F506" i="13"/>
  <c r="F1634" i="13"/>
  <c r="F495" i="13"/>
  <c r="F1293" i="13"/>
  <c r="F338" i="13"/>
  <c r="F331" i="13"/>
  <c r="F1026" i="13"/>
  <c r="F1212" i="13"/>
  <c r="F1577" i="13"/>
  <c r="F750" i="13"/>
  <c r="F1647" i="13"/>
  <c r="F951" i="13"/>
  <c r="F1413" i="13"/>
  <c r="F1576" i="13"/>
  <c r="F641" i="13"/>
  <c r="F1535" i="13"/>
  <c r="F17" i="13"/>
  <c r="F600" i="13"/>
  <c r="F447" i="13"/>
  <c r="F1135" i="13"/>
  <c r="F566" i="13"/>
  <c r="F1479" i="13"/>
  <c r="F89" i="13"/>
  <c r="F612" i="13"/>
  <c r="F545" i="13"/>
  <c r="F1325" i="13"/>
  <c r="F679" i="13"/>
  <c r="F769" i="13"/>
  <c r="F813" i="13"/>
  <c r="F1687" i="13"/>
  <c r="F241" i="13"/>
  <c r="F346" i="13"/>
  <c r="F983" i="13"/>
  <c r="F1502" i="13"/>
  <c r="F1430" i="13"/>
  <c r="F477" i="13"/>
  <c r="F1335" i="13"/>
  <c r="F251" i="13"/>
  <c r="F717" i="13"/>
  <c r="F1025" i="13"/>
  <c r="F30" i="13"/>
  <c r="F246" i="13"/>
  <c r="F695" i="13"/>
  <c r="F975" i="13"/>
  <c r="F300" i="13"/>
  <c r="F204" i="13"/>
  <c r="F567" i="13"/>
  <c r="F1260" i="13"/>
  <c r="F1128" i="13"/>
  <c r="F1232" i="13"/>
  <c r="F1233" i="13"/>
  <c r="F1587" i="13"/>
  <c r="F1300" i="13"/>
  <c r="F889" i="13"/>
  <c r="F682" i="13"/>
  <c r="F296" i="13"/>
  <c r="F1093" i="13"/>
  <c r="F1010" i="13"/>
  <c r="F1525" i="13"/>
  <c r="F1714" i="13"/>
  <c r="F1370" i="13"/>
  <c r="F299" i="13"/>
  <c r="F1383" i="13"/>
  <c r="F474" i="13"/>
  <c r="F442" i="13"/>
  <c r="F593" i="13"/>
  <c r="F1720" i="13"/>
  <c r="F673" i="13"/>
  <c r="F348" i="13"/>
  <c r="F849" i="13"/>
  <c r="F1695" i="13"/>
  <c r="F1323" i="13"/>
  <c r="F1510" i="13"/>
  <c r="F1295" i="13"/>
  <c r="F1376" i="13"/>
  <c r="F1601" i="13"/>
  <c r="F739" i="13"/>
  <c r="F14" i="13"/>
  <c r="F1358" i="13"/>
  <c r="F1521" i="13"/>
  <c r="F1089" i="13"/>
  <c r="F817" i="13"/>
  <c r="F391" i="13"/>
  <c r="F948" i="13"/>
  <c r="F525" i="13"/>
  <c r="F557" i="13"/>
  <c r="F933" i="13"/>
  <c r="F330" i="13"/>
  <c r="F1439" i="13"/>
  <c r="F379" i="13"/>
  <c r="F882" i="13"/>
  <c r="F1119" i="13"/>
  <c r="F337" i="13"/>
  <c r="F1415" i="13"/>
  <c r="F1547" i="13"/>
  <c r="F1031" i="13"/>
  <c r="F132" i="13"/>
  <c r="F1475" i="13"/>
  <c r="F1390" i="13"/>
  <c r="F1146" i="13"/>
  <c r="F616" i="13"/>
  <c r="F766" i="13"/>
  <c r="F1519" i="13"/>
  <c r="F218" i="13"/>
  <c r="F722" i="13"/>
  <c r="F786" i="13"/>
  <c r="F1654" i="13"/>
  <c r="F1626" i="13"/>
  <c r="F79" i="13"/>
  <c r="F902" i="13"/>
  <c r="F855" i="13"/>
  <c r="F1235" i="13"/>
  <c r="F416" i="13"/>
  <c r="F534" i="13"/>
  <c r="F1360" i="13"/>
  <c r="F36" i="13"/>
  <c r="F732" i="13"/>
  <c r="F1583" i="13"/>
  <c r="F1385" i="13"/>
  <c r="F265" i="13"/>
  <c r="F254" i="13"/>
  <c r="F633" i="13"/>
  <c r="F1372" i="13"/>
  <c r="F1554" i="13"/>
  <c r="F452" i="13"/>
  <c r="F1462" i="13"/>
  <c r="F375" i="13"/>
  <c r="F731" i="13"/>
  <c r="F773" i="13"/>
  <c r="F1460" i="13"/>
  <c r="F1329" i="13"/>
  <c r="F1030" i="13"/>
  <c r="F260" i="13"/>
  <c r="F810" i="13"/>
  <c r="F291" i="13"/>
  <c r="F1343" i="13"/>
  <c r="F903" i="13"/>
  <c r="F486" i="13"/>
  <c r="F1277" i="13"/>
  <c r="F1014" i="13"/>
  <c r="F887" i="13"/>
  <c r="F157" i="13"/>
  <c r="F662" i="13"/>
  <c r="F431" i="13"/>
  <c r="F1457" i="13"/>
  <c r="F1332" i="13"/>
  <c r="F258" i="13"/>
  <c r="F1264" i="13"/>
  <c r="F1529" i="13"/>
  <c r="F293" i="13"/>
  <c r="F125" i="13"/>
  <c r="F1507" i="13"/>
  <c r="F985" i="13"/>
  <c r="F562" i="13"/>
  <c r="F1082" i="13"/>
  <c r="F651" i="13"/>
  <c r="F24" i="13"/>
  <c r="F1195" i="13"/>
  <c r="F149" i="13"/>
  <c r="F828" i="13"/>
  <c r="F134" i="13"/>
  <c r="F155" i="13"/>
  <c r="F505" i="13"/>
  <c r="F154" i="13"/>
  <c r="F1716" i="13"/>
  <c r="F1131" i="13"/>
  <c r="F777" i="13"/>
  <c r="F1386" i="13"/>
  <c r="F239" i="13"/>
  <c r="F1105" i="13"/>
  <c r="F18" i="13"/>
  <c r="F954" i="13"/>
  <c r="F1692" i="13"/>
  <c r="F649" i="13"/>
  <c r="F418" i="13"/>
  <c r="F1196" i="13"/>
  <c r="F1669" i="13"/>
  <c r="F846" i="13"/>
  <c r="F635" i="13"/>
  <c r="F112" i="13"/>
  <c r="F1503" i="13"/>
  <c r="F111" i="13"/>
  <c r="F91" i="13"/>
  <c r="F328" i="13"/>
  <c r="F937" i="13"/>
  <c r="F41" i="13"/>
  <c r="F835" i="13"/>
  <c r="F501" i="13"/>
  <c r="F369" i="13"/>
  <c r="F1078" i="13"/>
  <c r="F129" i="13"/>
  <c r="F952" i="13"/>
  <c r="F1515" i="13"/>
  <c r="F881" i="13"/>
  <c r="F681" i="13"/>
  <c r="F1656" i="13"/>
  <c r="F456" i="13"/>
  <c r="F761" i="13"/>
  <c r="F1106" i="13"/>
  <c r="F665" i="13"/>
  <c r="F1122" i="13"/>
  <c r="F1071" i="13"/>
  <c r="F1712" i="13"/>
  <c r="F763" i="13"/>
  <c r="F1013" i="13"/>
  <c r="F632" i="13"/>
  <c r="F1369" i="13"/>
  <c r="F449" i="13"/>
  <c r="F656" i="13"/>
  <c r="F925" i="13"/>
  <c r="F1407" i="13"/>
  <c r="F1035" i="13"/>
  <c r="F1670" i="13"/>
  <c r="F401" i="13"/>
  <c r="F1464" i="13"/>
  <c r="F1466" i="13"/>
  <c r="F799" i="13"/>
  <c r="F73" i="13"/>
  <c r="F499" i="13"/>
  <c r="F439" i="13"/>
  <c r="F587" i="13"/>
  <c r="F1500" i="13"/>
  <c r="F809" i="13"/>
  <c r="F1183" i="13"/>
  <c r="F551" i="13"/>
  <c r="F1180" i="13"/>
  <c r="F1231" i="13"/>
  <c r="F236" i="13"/>
  <c r="F833" i="13"/>
  <c r="F142" i="13"/>
  <c r="F1639" i="13"/>
  <c r="F1012" i="13"/>
  <c r="F86" i="13"/>
  <c r="F1546" i="13"/>
  <c r="F104" i="13"/>
  <c r="F371" i="13"/>
  <c r="F107" i="13"/>
  <c r="F1561" i="13"/>
  <c r="F1366" i="13"/>
  <c r="F684" i="13"/>
  <c r="F1652" i="13"/>
  <c r="F1443" i="13"/>
  <c r="F215" i="13"/>
  <c r="F875" i="13"/>
  <c r="F356" i="13"/>
  <c r="F663" i="13"/>
  <c r="F1574" i="13"/>
  <c r="F1621" i="13"/>
  <c r="F206" i="13"/>
  <c r="F481" i="13"/>
  <c r="F44" i="13"/>
  <c r="F1005" i="13"/>
  <c r="F1301" i="13"/>
  <c r="F1246" i="13"/>
  <c r="F1418" i="13"/>
  <c r="F1189" i="13"/>
  <c r="F1161" i="13"/>
  <c r="F377" i="13"/>
  <c r="F1001" i="13"/>
  <c r="F1470" i="13"/>
  <c r="F259" i="13"/>
  <c r="F802" i="13"/>
  <c r="F914" i="13"/>
  <c r="F364" i="13"/>
  <c r="F1315" i="13"/>
  <c r="F879" i="13"/>
  <c r="F1107" i="13"/>
  <c r="F1165" i="13"/>
  <c r="F1651" i="13"/>
  <c r="F1608" i="13"/>
  <c r="F637" i="13"/>
  <c r="F1209" i="13"/>
  <c r="F409" i="13"/>
  <c r="F726" i="13"/>
  <c r="F183" i="13"/>
  <c r="F365" i="13"/>
  <c r="F963" i="13"/>
  <c r="F870" i="13"/>
  <c r="F1665" i="13"/>
  <c r="F653" i="13"/>
  <c r="F323" i="13"/>
  <c r="F325" i="13"/>
  <c r="F834" i="13"/>
  <c r="F697" i="13"/>
  <c r="F1557" i="13"/>
  <c r="F313" i="13"/>
  <c r="F88" i="13"/>
  <c r="F1569" i="13"/>
  <c r="F1276" i="13"/>
  <c r="F1581" i="13"/>
  <c r="F504" i="13"/>
  <c r="F429" i="13"/>
  <c r="F1568" i="13"/>
  <c r="F27" i="13"/>
  <c r="F1162" i="13"/>
  <c r="F749" i="13"/>
  <c r="F661" i="13"/>
  <c r="F725" i="13"/>
  <c r="F1708" i="13"/>
  <c r="F837" i="13"/>
  <c r="F1698" i="13"/>
  <c r="F70" i="13"/>
  <c r="F900" i="13"/>
  <c r="F1092" i="13"/>
  <c r="F1487" i="13"/>
  <c r="F1483" i="13"/>
  <c r="F1499" i="13"/>
  <c r="F898" i="13"/>
  <c r="F137" i="13"/>
  <c r="F120" i="13"/>
  <c r="F1477" i="13"/>
  <c r="F415" i="13"/>
  <c r="F553" i="13"/>
  <c r="F1412" i="13"/>
  <c r="F1400" i="13"/>
  <c r="F1275" i="13"/>
  <c r="F820" i="13"/>
  <c r="F1271" i="13"/>
  <c r="F287" i="13"/>
  <c r="F1253" i="13"/>
  <c r="F622" i="13"/>
  <c r="F1596" i="13"/>
  <c r="F700" i="13"/>
  <c r="F610" i="13"/>
  <c r="F463" i="13"/>
  <c r="F1428" i="13"/>
  <c r="F945" i="13"/>
  <c r="F248" i="13"/>
  <c r="F422" i="13"/>
  <c r="F1362" i="13"/>
  <c r="F1730" i="13"/>
  <c r="F140" i="13"/>
  <c r="F827" i="13"/>
  <c r="F778" i="13"/>
  <c r="F192" i="13"/>
  <c r="F298" i="13"/>
  <c r="F1697" i="13"/>
  <c r="F167" i="13"/>
  <c r="F1282" i="13"/>
  <c r="F1034" i="13"/>
  <c r="F1259" i="13"/>
  <c r="F20" i="13"/>
  <c r="F910" i="13"/>
  <c r="F1406" i="13"/>
  <c r="F32" i="13"/>
  <c r="F1650" i="13"/>
  <c r="F1032" i="13"/>
  <c r="F1204" i="13"/>
  <c r="F1104" i="13"/>
  <c r="F1133" i="13"/>
  <c r="F1137" i="13"/>
  <c r="F392" i="13"/>
  <c r="F308" i="13"/>
  <c r="F52" i="13"/>
  <c r="F851" i="13"/>
  <c r="F1215" i="13"/>
  <c r="F60" i="13"/>
  <c r="F1061" i="13"/>
  <c r="F62" i="13"/>
  <c r="F1236" i="13"/>
  <c r="F139" i="13"/>
  <c r="F1024" i="13"/>
  <c r="F1437" i="13"/>
  <c r="F1306" i="13"/>
  <c r="F728" i="13"/>
  <c r="F105" i="13"/>
  <c r="F1044" i="13"/>
  <c r="F347" i="13"/>
  <c r="F1085" i="13"/>
  <c r="F638" i="13"/>
  <c r="F671" i="13"/>
  <c r="F1379" i="13"/>
  <c r="F1643" i="13"/>
  <c r="F1363" i="13"/>
  <c r="F1539" i="13"/>
  <c r="F229" i="13"/>
  <c r="F1218" i="13"/>
  <c r="F1326" i="13"/>
  <c r="F550" i="13"/>
  <c r="F1595" i="13"/>
  <c r="F1123" i="13"/>
  <c r="F148" i="13"/>
  <c r="F664" i="13"/>
  <c r="F1454" i="13"/>
  <c r="F1099" i="13"/>
  <c r="F915" i="13"/>
  <c r="F1056" i="13"/>
  <c r="F34" i="13"/>
  <c r="F1648" i="13"/>
  <c r="F1241" i="13"/>
  <c r="F686" i="13"/>
  <c r="F230" i="13"/>
  <c r="F85" i="13"/>
  <c r="F1514" i="13"/>
  <c r="F1453" i="13"/>
  <c r="F729" i="13"/>
  <c r="F792" i="13"/>
  <c r="F1046" i="13"/>
  <c r="F500" i="13"/>
  <c r="F54" i="13"/>
  <c r="F511" i="13"/>
  <c r="F277" i="13"/>
  <c r="F533" i="13"/>
  <c r="F693" i="13"/>
  <c r="F815" i="13"/>
  <c r="F1448" i="13"/>
  <c r="F674" i="13"/>
  <c r="F1719" i="13"/>
  <c r="F1711" i="13"/>
  <c r="F1699" i="13"/>
  <c r="F904" i="13"/>
  <c r="F1084" i="13"/>
  <c r="F580" i="13"/>
  <c r="F754" i="13"/>
  <c r="F1664" i="13"/>
  <c r="F1352" i="13"/>
  <c r="F1410" i="13"/>
  <c r="F228" i="13"/>
  <c r="F1432" i="13"/>
  <c r="F1142" i="13"/>
  <c r="F367" i="13"/>
  <c r="F256" i="13"/>
  <c r="F124" i="13"/>
  <c r="F213" i="13"/>
  <c r="F116" i="13"/>
  <c r="F999" i="13"/>
  <c r="F1185" i="13"/>
  <c r="F1140" i="13"/>
  <c r="F253" i="13"/>
  <c r="F1613" i="13"/>
  <c r="F694" i="13"/>
  <c r="F1427" i="13"/>
  <c r="F1067" i="13"/>
  <c r="F339" i="13"/>
  <c r="F908" i="13"/>
  <c r="F1395" i="13"/>
  <c r="F1265" i="13"/>
  <c r="F1498" i="13"/>
  <c r="F1037" i="13"/>
  <c r="F1070" i="13"/>
  <c r="F1627" i="13"/>
  <c r="F745" i="13"/>
  <c r="F233" i="13"/>
  <c r="F1258" i="13"/>
  <c r="F1618" i="13"/>
  <c r="F1255" i="13"/>
  <c r="F1674" i="13"/>
  <c r="F333" i="13"/>
  <c r="F1564" i="13"/>
  <c r="F1426" i="13"/>
  <c r="F1408" i="13"/>
  <c r="F16" i="13"/>
  <c r="F350" i="13"/>
  <c r="F1552" i="13"/>
  <c r="F767" i="13"/>
  <c r="F1344" i="13"/>
  <c r="F473" i="13"/>
  <c r="F1051" i="13"/>
  <c r="F136" i="13"/>
  <c r="F1004" i="13"/>
  <c r="F1249" i="13"/>
  <c r="F133" i="13"/>
  <c r="F1563" i="13"/>
  <c r="F406" i="13"/>
  <c r="F1007" i="13"/>
  <c r="F1145" i="13"/>
  <c r="F1482" i="13"/>
  <c r="F1206" i="13"/>
  <c r="F405" i="13"/>
  <c r="F1336" i="13"/>
  <c r="F598" i="13"/>
  <c r="F1705" i="13"/>
  <c r="F419" i="13"/>
  <c r="F838" i="13"/>
  <c r="F335" i="13"/>
  <c r="F781" i="13"/>
  <c r="F890" i="13"/>
  <c r="F147" i="13"/>
  <c r="F758" i="13"/>
  <c r="F1210" i="13"/>
  <c r="F629" i="13"/>
  <c r="F921" i="13"/>
  <c r="F1086" i="13"/>
  <c r="F448" i="13"/>
  <c r="F1150" i="13"/>
  <c r="F829" i="13"/>
  <c r="F748" i="13"/>
  <c r="F1346" i="13"/>
  <c r="F223" i="13"/>
  <c r="F1438" i="13"/>
  <c r="F63" i="13"/>
  <c r="F178" i="13"/>
  <c r="F1380" i="13"/>
  <c r="F1734" i="13"/>
  <c r="F617" i="13"/>
  <c r="F1484" i="13"/>
  <c r="F1158" i="13"/>
  <c r="F1243" i="13"/>
  <c r="F118" i="13"/>
  <c r="F1630" i="13"/>
  <c r="F589" i="13"/>
  <c r="F267" i="13"/>
  <c r="F1304" i="13"/>
  <c r="F212" i="13"/>
  <c r="F1016" i="13"/>
  <c r="F66" i="13"/>
  <c r="F702" i="13"/>
  <c r="F611" i="13"/>
  <c r="F1339" i="13"/>
  <c r="F863" i="13"/>
  <c r="F1667" i="13"/>
  <c r="F123" i="13"/>
  <c r="F282" i="13"/>
  <c r="F247" i="13"/>
  <c r="F150" i="13"/>
  <c r="F510" i="13"/>
  <c r="F163" i="13"/>
  <c r="F988" i="13"/>
  <c r="F888" i="13"/>
  <c r="F165" i="13"/>
  <c r="F974" i="13"/>
  <c r="F43" i="13"/>
  <c r="F6" i="13"/>
  <c r="F764" i="13"/>
  <c r="F421" i="13"/>
  <c r="F558" i="13"/>
  <c r="F68" i="13"/>
  <c r="F195" i="13"/>
  <c r="F1361" i="13"/>
  <c r="F514" i="13"/>
  <c r="F602" i="13"/>
  <c r="F187" i="13"/>
  <c r="F1570" i="13"/>
  <c r="F326" i="13"/>
  <c r="F976" i="13"/>
  <c r="F595" i="13"/>
  <c r="F28" i="13"/>
  <c r="F478" i="13"/>
  <c r="F604" i="13"/>
  <c r="F466" i="13"/>
  <c r="F547" i="13"/>
  <c r="F78" i="13"/>
  <c r="F831" i="13"/>
  <c r="F211" i="13"/>
  <c r="F1053" i="13"/>
  <c r="F403" i="13"/>
  <c r="F226" i="13"/>
  <c r="F459" i="13"/>
  <c r="F1311" i="13"/>
  <c r="F1178" i="13"/>
  <c r="F699" i="13"/>
  <c r="F1087" i="13"/>
  <c r="F1027" i="13"/>
  <c r="F571" i="13"/>
  <c r="F1434" i="13"/>
  <c r="F1422" i="13"/>
  <c r="F706" i="13"/>
  <c r="F342" i="13"/>
  <c r="F1062" i="13"/>
  <c r="F613" i="13"/>
  <c r="F222" i="13"/>
  <c r="F77" i="13"/>
  <c r="F1436" i="13"/>
  <c r="F1263" i="13"/>
  <c r="F1388" i="13"/>
  <c r="F1279" i="13"/>
  <c r="F56" i="13"/>
  <c r="F1273" i="13"/>
  <c r="F1174" i="13"/>
  <c r="F607" i="13"/>
  <c r="F730" i="13"/>
  <c r="F1296" i="13"/>
  <c r="F1111" i="13"/>
  <c r="F1603" i="13"/>
  <c r="F994" i="13"/>
  <c r="F1548" i="13"/>
  <c r="F344" i="13"/>
  <c r="F1054" i="13"/>
  <c r="F1686" i="13"/>
  <c r="F715" i="13"/>
  <c r="F232" i="13"/>
  <c r="F1169" i="13"/>
  <c r="F101" i="13"/>
  <c r="F1545" i="13"/>
  <c r="F922" i="13"/>
  <c r="F280" i="13"/>
  <c r="F1364" i="13"/>
  <c r="F1052" i="13"/>
  <c r="F1531" i="13"/>
  <c r="F1193" i="13"/>
  <c r="F964" i="13"/>
  <c r="F1628" i="13"/>
  <c r="F527" i="13"/>
  <c r="F1495" i="13"/>
  <c r="F1447" i="13"/>
  <c r="F384" i="13"/>
  <c r="F977" i="13"/>
  <c r="F1607" i="13"/>
  <c r="F554" i="13"/>
  <c r="F1393" i="13"/>
  <c r="F960" i="13"/>
  <c r="F615" i="13"/>
  <c r="F569" i="13"/>
  <c r="F541" i="13"/>
  <c r="F196" i="13"/>
  <c r="F517" i="13"/>
  <c r="F13" i="13"/>
  <c r="F1345" i="13"/>
  <c r="F1283" i="13"/>
  <c r="F1590" i="13"/>
  <c r="F372" i="13"/>
  <c r="F373" i="13"/>
  <c r="F428" i="13"/>
  <c r="F878" i="13"/>
  <c r="F856" i="13"/>
  <c r="F417" i="13"/>
  <c r="F970" i="13"/>
  <c r="F1635" i="13"/>
  <c r="F468" i="13"/>
  <c r="F509" i="13"/>
  <c r="F523" i="13"/>
  <c r="F760" i="13"/>
  <c r="F1166" i="13"/>
  <c r="F1455" i="13"/>
  <c r="F1342" i="13"/>
  <c r="F1019" i="13"/>
  <c r="F1518" i="13"/>
  <c r="F608" i="13"/>
  <c r="F790" i="13"/>
  <c r="F1715" i="13"/>
  <c r="F1505" i="13"/>
  <c r="F264" i="13"/>
  <c r="F72" i="13"/>
  <c r="F1660" i="13"/>
  <c r="F568" i="13"/>
  <c r="F114" i="13"/>
  <c r="F1527" i="13"/>
  <c r="F273" i="13"/>
  <c r="F1411" i="13"/>
  <c r="F445" i="13"/>
  <c r="F787" i="13"/>
  <c r="F497" i="13"/>
  <c r="F1284" i="13"/>
  <c r="F1478" i="13"/>
  <c r="F166" i="13"/>
  <c r="F1240" i="13"/>
  <c r="F1659" i="13"/>
  <c r="F926" i="13"/>
  <c r="F919" i="13"/>
  <c r="F288" i="13"/>
  <c r="F1340" i="13"/>
  <c r="F169" i="13"/>
  <c r="F1550" i="13"/>
  <c r="F1689" i="13"/>
  <c r="F278" i="13"/>
  <c r="F793" i="13"/>
  <c r="F457" i="13"/>
  <c r="F1619" i="13"/>
  <c r="F981" i="13"/>
  <c r="F579" i="13"/>
  <c r="F727" i="13"/>
  <c r="F1394" i="13"/>
  <c r="F1341" i="13"/>
  <c r="F475" i="13"/>
  <c r="F584" i="13"/>
  <c r="F1172" i="13"/>
  <c r="F1247" i="13"/>
  <c r="F543" i="13"/>
  <c r="F108" i="13"/>
  <c r="F1623" i="13"/>
  <c r="F472" i="13"/>
  <c r="F173" i="13"/>
  <c r="F48" i="13"/>
  <c r="F874" i="13"/>
  <c r="F1402" i="13"/>
  <c r="F1506" i="13"/>
  <c r="F705" i="13"/>
  <c r="F776" i="13"/>
  <c r="F1353" i="13"/>
  <c r="F1207" i="13"/>
  <c r="F491" i="13"/>
  <c r="F1298" i="13"/>
  <c r="F643" i="13"/>
  <c r="F980" i="13"/>
  <c r="F719" i="13"/>
  <c r="F305" i="13"/>
  <c r="F1703" i="13"/>
  <c r="F718" i="13"/>
  <c r="F646" i="13"/>
  <c r="F1331" i="13"/>
  <c r="F1075" i="13"/>
  <c r="F791" i="13"/>
  <c r="F1261" i="13"/>
  <c r="F420" i="13"/>
  <c r="F841" i="13"/>
  <c r="F757" i="13"/>
  <c r="F467" i="13"/>
  <c r="F411" i="13"/>
  <c r="F374" i="13"/>
  <c r="F742" i="13"/>
  <c r="F1728" i="13"/>
  <c r="F892" i="13"/>
  <c r="F1541" i="13"/>
  <c r="F1678" i="13"/>
  <c r="F1551" i="13"/>
  <c r="F1555" i="13"/>
  <c r="F188" i="13"/>
  <c r="F1079" i="13"/>
  <c r="F546" i="13"/>
  <c r="F712" i="13"/>
  <c r="F1230" i="13"/>
  <c r="F1649" i="13"/>
  <c r="F639" i="13"/>
  <c r="F1291" i="13"/>
  <c r="F106" i="13"/>
  <c r="F507" i="13"/>
  <c r="F1624" i="13"/>
  <c r="F630" i="13"/>
  <c r="F1538" i="13"/>
  <c r="F402" i="13"/>
  <c r="F1511" i="13"/>
  <c r="F1245" i="13"/>
  <c r="F425" i="13"/>
  <c r="F1318" i="13"/>
  <c r="F1252" i="13"/>
  <c r="F1274" i="13"/>
  <c r="F243" i="13"/>
  <c r="F859" i="13"/>
  <c r="F1600" i="13"/>
  <c r="F144" i="13"/>
  <c r="F489" i="13"/>
  <c r="F1449" i="13"/>
  <c r="F1338" i="13"/>
  <c r="F321" i="13"/>
  <c r="F1542" i="13"/>
  <c r="F307" i="13"/>
  <c r="F676" i="13"/>
  <c r="F110" i="13"/>
  <c r="F1083" i="13"/>
  <c r="F1458" i="13"/>
  <c r="F69" i="13"/>
  <c r="F168" i="13"/>
  <c r="F1513" i="13"/>
  <c r="F1041" i="13"/>
  <c r="F696" i="13"/>
  <c r="F1139" i="13"/>
  <c r="F382" i="13"/>
  <c r="F1693" i="13"/>
  <c r="F1384" i="13"/>
  <c r="F1159" i="13"/>
  <c r="F650" i="13"/>
  <c r="F161" i="13"/>
  <c r="F912" i="13"/>
  <c r="F818" i="13"/>
  <c r="F487" i="13"/>
  <c r="F1682" i="13"/>
  <c r="F848" i="13"/>
  <c r="F482" i="13"/>
  <c r="F1066" i="13"/>
  <c r="F1679" i="13"/>
  <c r="F127" i="13"/>
  <c r="F1409" i="13"/>
  <c r="F603" i="13"/>
  <c r="F1371" i="13"/>
  <c r="F1221" i="13"/>
  <c r="F893" i="13"/>
  <c r="F1076" i="13"/>
  <c r="F494" i="13"/>
  <c r="F1472" i="13"/>
  <c r="F58" i="13"/>
  <c r="F272" i="13"/>
  <c r="F404" i="13"/>
  <c r="F40" i="13"/>
  <c r="F1594" i="13"/>
  <c r="F800" i="13"/>
  <c r="F806" i="13"/>
  <c r="F1355" i="13"/>
  <c r="F1591" i="13"/>
  <c r="F973" i="13"/>
  <c r="F625" i="13"/>
  <c r="F351" i="13"/>
  <c r="F789" i="13"/>
  <c r="F752" i="13"/>
  <c r="F279" i="13"/>
  <c r="F1156" i="13"/>
  <c r="F462" i="13"/>
  <c r="F1676" i="13"/>
  <c r="F349" i="13"/>
  <c r="F991" i="13"/>
  <c r="F451" i="13"/>
  <c r="F109" i="13"/>
  <c r="F868" i="13"/>
  <c r="F640" i="13"/>
  <c r="F996" i="13"/>
  <c r="F201" i="13"/>
  <c r="F938" i="13"/>
  <c r="F353" i="13"/>
  <c r="F1559" i="13"/>
  <c r="F407" i="13"/>
  <c r="F578" i="13"/>
  <c r="F636" i="13"/>
  <c r="F153" i="13"/>
  <c r="F332" i="13"/>
  <c r="F176" i="13"/>
  <c r="F573" i="13"/>
  <c r="F1256" i="13"/>
  <c r="F1625" i="13"/>
  <c r="F189" i="13"/>
  <c r="F561" i="13"/>
  <c r="F1322" i="13"/>
  <c r="F1205" i="13"/>
  <c r="F746" i="13"/>
  <c r="F529" i="13"/>
  <c r="F655" i="13"/>
  <c r="F1599" i="13"/>
  <c r="F179" i="13"/>
  <c r="F576" i="13"/>
  <c r="F883" i="13"/>
  <c r="F454" i="13"/>
  <c r="F775" i="13"/>
  <c r="F361" i="13"/>
  <c r="F426" i="13"/>
  <c r="F692" i="13"/>
  <c r="F1109" i="13"/>
  <c r="F1091" i="13"/>
  <c r="F389" i="13"/>
  <c r="F982" i="13"/>
  <c r="F864" i="13"/>
  <c r="F560" i="13"/>
  <c r="F290" i="13"/>
  <c r="F1614" i="13"/>
  <c r="F217" i="13"/>
  <c r="F1572" i="13"/>
  <c r="F723" i="13"/>
  <c r="F216" i="13"/>
  <c r="F1348" i="13"/>
  <c r="F972" i="13"/>
  <c r="F652" i="13"/>
  <c r="F1589" i="13"/>
  <c r="F1186" i="13"/>
  <c r="F1310" i="13"/>
  <c r="F1524" i="13"/>
  <c r="F516" i="13"/>
  <c r="F1729" i="13"/>
  <c r="F1658" i="13"/>
  <c r="F520" i="13"/>
  <c r="F261" i="13"/>
  <c r="F1069" i="13"/>
  <c r="F548" i="13"/>
  <c r="F1152" i="13"/>
  <c r="F97" i="13"/>
  <c r="F1530" i="13"/>
  <c r="F836" i="13"/>
  <c r="F969" i="13"/>
  <c r="F304" i="13"/>
  <c r="F1267" i="13"/>
  <c r="F771" i="13"/>
  <c r="F658" i="13"/>
  <c r="F1302" i="13"/>
  <c r="F765" i="13"/>
  <c r="F281" i="13"/>
  <c r="F1217" i="13"/>
  <c r="F906" i="13"/>
  <c r="F704" i="13"/>
  <c r="F909" i="13"/>
  <c r="F1324" i="13"/>
  <c r="F1532" i="13"/>
  <c r="F899" i="13"/>
  <c r="F1706" i="13"/>
  <c r="F755" i="13"/>
  <c r="F747" i="13"/>
  <c r="F380" i="13"/>
  <c r="F1200" i="13"/>
  <c r="F1644" i="13"/>
  <c r="F583" i="13"/>
  <c r="F1420" i="13"/>
  <c r="F289" i="13"/>
  <c r="F1481" i="13"/>
  <c r="F1288" i="13"/>
  <c r="F1523" i="13"/>
  <c r="F186" i="13"/>
  <c r="F741" i="13"/>
  <c r="F1020" i="13"/>
  <c r="F244" i="13"/>
  <c r="F708" i="13"/>
  <c r="F394" i="13"/>
  <c r="F624" i="13"/>
  <c r="F45" i="13"/>
  <c r="F310" i="13"/>
  <c r="F530" i="13"/>
  <c r="F869" i="13"/>
  <c r="F1197" i="13"/>
  <c r="F297" i="13"/>
  <c r="F1073" i="13"/>
  <c r="F1223" i="13"/>
  <c r="F990" i="13"/>
  <c r="F309" i="13"/>
  <c r="F1417" i="13"/>
  <c r="F470" i="13"/>
  <c r="F1488" i="13"/>
  <c r="F355" i="13"/>
  <c r="F1401" i="13"/>
  <c r="F1602" i="13"/>
  <c r="F1476" i="13"/>
  <c r="F1117" i="13"/>
  <c r="F1485" i="13"/>
  <c r="F1068" i="13"/>
  <c r="F1176" i="13"/>
  <c r="F1237" i="13"/>
  <c r="F968" i="13"/>
  <c r="F98" i="13"/>
  <c r="F618" i="13"/>
  <c r="F995" i="13"/>
  <c r="F182" i="13"/>
  <c r="F1387" i="13"/>
  <c r="F1610" i="13"/>
  <c r="F1350" i="13"/>
  <c r="F740" i="13"/>
  <c r="F597" i="13"/>
  <c r="F1321" i="13"/>
  <c r="F1694" i="13"/>
  <c r="F1509" i="13"/>
  <c r="F950" i="13"/>
  <c r="F1281" i="13"/>
  <c r="F1368" i="13"/>
  <c r="F378" i="13"/>
  <c r="F680" i="13"/>
  <c r="F521" i="13"/>
  <c r="F1735" i="13"/>
  <c r="F184" i="13"/>
  <c r="F1681" i="13"/>
  <c r="F1132" i="13"/>
  <c r="F1578" i="13"/>
  <c r="F437" i="13"/>
  <c r="F804" i="13"/>
  <c r="F581" i="13"/>
  <c r="F1287" i="13"/>
  <c r="F1632" i="13"/>
  <c r="F1375" i="13"/>
  <c r="F830" i="13"/>
  <c r="F336" i="13"/>
  <c r="F238" i="13"/>
  <c r="F606" i="13"/>
  <c r="F854" i="13"/>
  <c r="F1009" i="13"/>
  <c r="F1736" i="13"/>
  <c r="F1579" i="13"/>
  <c r="F433" i="13"/>
  <c r="F805" i="13"/>
  <c r="F591" i="13"/>
  <c r="F1685" i="13"/>
  <c r="F1473" i="13"/>
  <c r="F867" i="13"/>
  <c r="F1229" i="13"/>
  <c r="F225" i="13"/>
  <c r="F19" i="13"/>
  <c r="F317" i="13"/>
  <c r="F1672" i="13"/>
  <c r="F1396" i="13"/>
  <c r="F1097" i="13"/>
  <c r="F1101" i="13"/>
  <c r="F1171" i="13"/>
  <c r="F483" i="13"/>
  <c r="F1108" i="13"/>
  <c r="F302" i="13"/>
  <c r="F175" i="13"/>
  <c r="F354" i="13"/>
  <c r="F484" i="13"/>
  <c r="F412" i="13"/>
  <c r="F619" i="13"/>
  <c r="F1155" i="13"/>
  <c r="F614" i="13"/>
  <c r="F1018" i="13"/>
  <c r="F1191" i="13"/>
  <c r="F1722" i="13"/>
  <c r="F1467" i="13"/>
  <c r="F275" i="13"/>
  <c r="F276" i="13"/>
  <c r="F366" i="13"/>
  <c r="F1144" i="13"/>
  <c r="F252" i="13"/>
  <c r="F395" i="13"/>
  <c r="F1269" i="13"/>
  <c r="F1227" i="13"/>
  <c r="F255" i="13"/>
  <c r="F263" i="13"/>
  <c r="F240" i="13"/>
  <c r="F1377" i="13"/>
  <c r="F359" i="13"/>
  <c r="F1446" i="13"/>
  <c r="F1565" i="13"/>
  <c r="F1486" i="13"/>
  <c r="F913" i="13"/>
  <c r="F200" i="13"/>
  <c r="F1629" i="13"/>
  <c r="F95" i="13"/>
  <c r="F1469" i="13"/>
  <c r="F1490" i="13"/>
  <c r="F1126" i="13"/>
  <c r="F498" i="13"/>
  <c r="F476" i="13"/>
  <c r="D55" i="37"/>
  <c r="E55" i="37" s="1"/>
  <c r="F49" i="37" s="1"/>
  <c r="P55" i="13"/>
  <c r="F880" i="13"/>
  <c r="D26" i="37"/>
  <c r="E26" i="37" s="1"/>
  <c r="L78" i="38"/>
  <c r="L50" i="13"/>
  <c r="K34" i="13"/>
  <c r="K176" i="12"/>
  <c r="K94" i="12" s="1"/>
  <c r="N72" i="13" s="1"/>
  <c r="L176" i="12"/>
  <c r="J51" i="13"/>
  <c r="D15" i="37"/>
  <c r="E15" i="37" s="1"/>
  <c r="L68" i="38"/>
  <c r="C68" i="13" s="1"/>
  <c r="K5" i="13"/>
  <c r="K27" i="13"/>
  <c r="K49" i="37"/>
  <c r="L51" i="1" s="1"/>
  <c r="F7" i="13"/>
  <c r="F924" i="13"/>
  <c r="F130" i="13"/>
  <c r="F577" i="13"/>
  <c r="F1115" i="13"/>
  <c r="F1309" i="13"/>
  <c r="F987" i="13"/>
  <c r="F531" i="13"/>
  <c r="F1526" i="13"/>
  <c r="F61" i="13"/>
  <c r="F955" i="13"/>
  <c r="F1382" i="13"/>
  <c r="F1414" i="13"/>
  <c r="F219" i="13"/>
  <c r="F1292" i="13"/>
  <c r="F438" i="13"/>
  <c r="F1450" i="13"/>
  <c r="F1077" i="13"/>
  <c r="F513" i="13"/>
  <c r="F528" i="13"/>
  <c r="F65" i="13"/>
  <c r="F1585" i="13"/>
  <c r="F1690" i="13"/>
  <c r="F71" i="13"/>
  <c r="F249" i="13"/>
  <c r="F710" i="13"/>
  <c r="F1704" i="13"/>
  <c r="F1683" i="13"/>
  <c r="F1617" i="13"/>
  <c r="F1286" i="13"/>
  <c r="F1203" i="13"/>
  <c r="F53" i="13"/>
  <c r="F8" i="13"/>
  <c r="F1266" i="13"/>
  <c r="F158" i="13"/>
  <c r="F1147" i="13"/>
  <c r="F164" i="13"/>
  <c r="F80" i="13"/>
  <c r="F822" i="13"/>
  <c r="F1036" i="13"/>
  <c r="F1684" i="13"/>
  <c r="F1057" i="13"/>
  <c r="F1359" i="13"/>
  <c r="F312" i="13"/>
  <c r="F620" i="13"/>
  <c r="F669" i="13"/>
  <c r="F957" i="13"/>
  <c r="F1317" i="13"/>
  <c r="F1006" i="13"/>
  <c r="F823" i="13"/>
  <c r="F819" i="13"/>
  <c r="F1294" i="13"/>
  <c r="F220" i="13"/>
  <c r="F857" i="13"/>
  <c r="F156" i="13"/>
  <c r="F601" i="13"/>
  <c r="F1065" i="13"/>
  <c r="F1445" i="13"/>
  <c r="F519" i="13"/>
  <c r="F87" i="13"/>
  <c r="F1440" i="13"/>
  <c r="F1072" i="13"/>
  <c r="F96" i="13"/>
  <c r="F1702" i="13"/>
  <c r="F1452" i="13"/>
  <c r="F1023" i="13"/>
  <c r="F1244" i="13"/>
  <c r="F1726" i="13"/>
  <c r="F993" i="13"/>
  <c r="F103" i="13"/>
  <c r="L93" i="1"/>
  <c r="P78" i="13"/>
  <c r="D32" i="37"/>
  <c r="E32" i="37" s="1"/>
  <c r="L84" i="38"/>
  <c r="D453" i="13" s="1"/>
  <c r="L56" i="13"/>
  <c r="K40" i="13"/>
  <c r="I55" i="38"/>
  <c r="J55" i="13"/>
  <c r="L72" i="38"/>
  <c r="C198" i="13" s="1"/>
  <c r="D19" i="37"/>
  <c r="E19" i="37" s="1"/>
  <c r="K31" i="13"/>
  <c r="K9" i="13"/>
  <c r="F935" i="13"/>
  <c r="F1489" i="13"/>
  <c r="F1151" i="13"/>
  <c r="F1316" i="13"/>
  <c r="F1313" i="13"/>
  <c r="F1096" i="13"/>
  <c r="F1480" i="13"/>
  <c r="F443" i="13"/>
  <c r="F1308" i="13"/>
  <c r="F1181" i="13"/>
  <c r="F627" i="13"/>
  <c r="F242" i="13"/>
  <c r="F1307" i="13"/>
  <c r="F1095" i="13"/>
  <c r="F843" i="13"/>
  <c r="F1143" i="13"/>
  <c r="F631" i="13"/>
  <c r="F609" i="13"/>
  <c r="F306" i="13"/>
  <c r="F441" i="13"/>
  <c r="F152" i="13"/>
  <c r="F1657" i="13"/>
  <c r="F928" i="13"/>
  <c r="F971" i="13"/>
  <c r="F207" i="13"/>
  <c r="F685" i="13"/>
  <c r="F659" i="13"/>
  <c r="F1367" i="13"/>
  <c r="F1611" i="13"/>
  <c r="F570" i="13"/>
  <c r="F642" i="13"/>
  <c r="F214" i="13"/>
  <c r="F1556" i="13"/>
  <c r="F202" i="13"/>
  <c r="F117" i="13"/>
  <c r="F654" i="13"/>
  <c r="F751" i="13"/>
  <c r="F76" i="13"/>
  <c r="F1645" i="13"/>
  <c r="F1050" i="13"/>
  <c r="F1691" i="13"/>
  <c r="F1399" i="13"/>
  <c r="F1680" i="13"/>
  <c r="F1064" i="13"/>
  <c r="F1029" i="13"/>
  <c r="F119" i="13"/>
  <c r="F724" i="13"/>
  <c r="F358" i="13"/>
  <c r="F1081" i="13"/>
  <c r="F596" i="13"/>
  <c r="F1270" i="13"/>
  <c r="F801" i="13"/>
  <c r="F585" i="13"/>
  <c r="F227" i="13"/>
  <c r="F424" i="13"/>
  <c r="F1059" i="13"/>
  <c r="F621" i="13"/>
  <c r="F341" i="13"/>
  <c r="F1677" i="13"/>
  <c r="F918" i="13"/>
  <c r="F320" i="13"/>
  <c r="F1184" i="13"/>
  <c r="F788" i="13"/>
  <c r="F1225" i="13"/>
  <c r="F1421" i="13"/>
  <c r="F532" i="13"/>
  <c r="F398" i="13"/>
  <c r="F245" i="13"/>
  <c r="F1433" i="13"/>
  <c r="N53" i="13"/>
  <c r="J88" i="1" s="1"/>
  <c r="L92" i="38"/>
  <c r="E588" i="13" s="1"/>
  <c r="D41" i="37"/>
  <c r="E41" i="37" s="1"/>
  <c r="L93" i="38"/>
  <c r="D42" i="37"/>
  <c r="E42" i="37" s="1"/>
  <c r="N54" i="13"/>
  <c r="J89" i="1" s="1"/>
  <c r="L91" i="1"/>
  <c r="P76" i="13"/>
  <c r="I57" i="38"/>
  <c r="D25" i="37"/>
  <c r="E25" i="37" s="1"/>
  <c r="L49" i="13"/>
  <c r="L77" i="38"/>
  <c r="D48" i="13" s="1"/>
  <c r="K33" i="13"/>
  <c r="E82" i="38"/>
  <c r="I59" i="38"/>
  <c r="K175" i="12"/>
  <c r="K93" i="12" s="1"/>
  <c r="N71" i="13" s="1"/>
  <c r="L175" i="12"/>
  <c r="I28" i="38"/>
  <c r="F257" i="13"/>
  <c r="F944" i="13"/>
  <c r="F51" i="13"/>
  <c r="F488" i="13"/>
  <c r="F1616" i="13"/>
  <c r="F177" i="13"/>
  <c r="F362" i="13"/>
  <c r="F381" i="13"/>
  <c r="F1517" i="13"/>
  <c r="F327" i="13"/>
  <c r="F444" i="13"/>
  <c r="F10" i="13"/>
  <c r="F645" i="13"/>
  <c r="F1278" i="13"/>
  <c r="F1334" i="13"/>
  <c r="F1002" i="13"/>
  <c r="F844" i="13"/>
  <c r="F1148" i="13"/>
  <c r="F634" i="13"/>
  <c r="F141" i="13"/>
  <c r="F953" i="13"/>
  <c r="F1424" i="13"/>
  <c r="F1134" i="13"/>
  <c r="F1528" i="13"/>
  <c r="F930" i="13"/>
  <c r="F860" i="13"/>
  <c r="F832" i="13"/>
  <c r="F5" i="13"/>
  <c r="F1272" i="13"/>
  <c r="F743" i="13"/>
  <c r="F1562" i="13"/>
  <c r="F720" i="13"/>
  <c r="F821" i="13"/>
  <c r="F340" i="13"/>
  <c r="F162" i="13"/>
  <c r="F1164" i="13"/>
  <c r="F1724" i="13"/>
  <c r="F989" i="13"/>
  <c r="F956" i="13"/>
  <c r="F397" i="13"/>
  <c r="F555" i="13"/>
  <c r="F1540" i="13"/>
  <c r="F932" i="13"/>
  <c r="F1423" i="13"/>
  <c r="F949" i="13"/>
  <c r="F1707" i="13"/>
  <c r="F556" i="13"/>
  <c r="F1201" i="13"/>
  <c r="F1465" i="13"/>
  <c r="F31" i="13"/>
  <c r="F49" i="13"/>
  <c r="F469" i="13"/>
  <c r="F703" i="13"/>
  <c r="F121" i="13"/>
  <c r="F1040" i="13"/>
  <c r="F1373" i="13"/>
  <c r="F524" i="13"/>
  <c r="F75" i="13"/>
  <c r="F1580" i="13"/>
  <c r="F1170" i="13"/>
  <c r="F1701" i="13"/>
  <c r="F845" i="13"/>
  <c r="F1501" i="13"/>
  <c r="F897" i="13"/>
  <c r="F1121" i="13"/>
  <c r="F1320" i="13"/>
  <c r="F678" i="13"/>
  <c r="F237" i="13"/>
  <c r="F825" i="13"/>
  <c r="L181" i="12"/>
  <c r="H27" i="38"/>
  <c r="J71" i="38" s="1"/>
  <c r="I27" i="38"/>
  <c r="E71" i="38"/>
  <c r="L54" i="13"/>
  <c r="D30" i="37"/>
  <c r="E30" i="37" s="1"/>
  <c r="L82" i="38"/>
  <c r="D483" i="13" s="1"/>
  <c r="K38" i="13"/>
  <c r="D44" i="37"/>
  <c r="E44" i="37" s="1"/>
  <c r="L95" i="38"/>
  <c r="E978" i="13" s="1"/>
  <c r="N56" i="13"/>
  <c r="J91" i="1" s="1"/>
  <c r="E84" i="38"/>
  <c r="F871" i="13"/>
  <c r="F677" i="13"/>
  <c r="F1671" i="13"/>
  <c r="F1125" i="13"/>
  <c r="F210" i="13"/>
  <c r="F234" i="13"/>
  <c r="F94" i="13"/>
  <c r="F1543" i="13"/>
  <c r="F683" i="13"/>
  <c r="F852" i="13"/>
  <c r="F762" i="13"/>
  <c r="F1251" i="13"/>
  <c r="F209" i="13"/>
  <c r="F1653" i="13"/>
  <c r="F1631" i="13"/>
  <c r="F414" i="13"/>
  <c r="F221" i="13"/>
  <c r="F1289" i="13"/>
  <c r="F1451" i="13"/>
  <c r="F917" i="13"/>
  <c r="F1633" i="13"/>
  <c r="F884" i="13"/>
  <c r="F1299" i="13"/>
  <c r="F345" i="13"/>
  <c r="F850" i="13"/>
  <c r="F138" i="13"/>
  <c r="F1045" i="13"/>
  <c r="F329" i="13"/>
  <c r="F224" i="13"/>
  <c r="F4" i="13"/>
  <c r="F586" i="13"/>
  <c r="F1213" i="13"/>
  <c r="F1661" i="13"/>
  <c r="F1638" i="13"/>
  <c r="F1216" i="13"/>
  <c r="F170" i="13"/>
  <c r="F1337" i="13"/>
  <c r="F15" i="13"/>
  <c r="F862" i="13"/>
  <c r="F434" i="13"/>
  <c r="F50" i="13"/>
  <c r="F388" i="13"/>
  <c r="F782" i="13"/>
  <c r="F490" i="13"/>
  <c r="F1103" i="13"/>
  <c r="F965" i="13"/>
  <c r="F594" i="13"/>
  <c r="F159" i="13"/>
  <c r="F67" i="13"/>
  <c r="F1118" i="13"/>
  <c r="F1688" i="13"/>
  <c r="F512" i="13"/>
  <c r="F250" i="13"/>
  <c r="F1391" i="13"/>
  <c r="F780" i="13"/>
  <c r="F1028" i="13"/>
  <c r="F1021" i="13"/>
  <c r="F1405" i="13"/>
  <c r="F707" i="13"/>
  <c r="F1088" i="13"/>
  <c r="F1709" i="13"/>
  <c r="F657" i="13"/>
  <c r="F1228" i="13"/>
  <c r="F102" i="13"/>
  <c r="F1504" i="13"/>
  <c r="F626" i="13"/>
  <c r="F891" i="13"/>
  <c r="F690" i="13"/>
  <c r="F174" i="13"/>
  <c r="F1280" i="13"/>
  <c r="K182" i="12"/>
  <c r="K100" i="12" s="1"/>
  <c r="N78" i="13" s="1"/>
  <c r="L182" i="12"/>
  <c r="K174" i="12"/>
  <c r="K92" i="12" s="1"/>
  <c r="N70" i="13" s="1"/>
  <c r="L174" i="12"/>
  <c r="L53" i="13"/>
  <c r="L81" i="38"/>
  <c r="D29" i="37"/>
  <c r="E29" i="37" s="1"/>
  <c r="K37" i="13"/>
  <c r="F1723" i="13"/>
  <c r="F1588" i="13"/>
  <c r="F1219" i="13"/>
  <c r="F812" i="13"/>
  <c r="F1033" i="13"/>
  <c r="F794" i="13"/>
  <c r="F1496" i="13"/>
  <c r="F1492" i="13"/>
  <c r="F1544" i="13"/>
  <c r="F1713" i="13"/>
  <c r="F1114" i="13"/>
  <c r="F1429" i="13"/>
  <c r="F1063" i="13"/>
  <c r="F360" i="13"/>
  <c r="F770" i="13"/>
  <c r="F839" i="13"/>
  <c r="F826" i="13"/>
  <c r="F1220" i="13"/>
  <c r="F199" i="13"/>
  <c r="F1733" i="13"/>
  <c r="F1459" i="13"/>
  <c r="F471" i="13"/>
  <c r="F1257" i="13"/>
  <c r="F648" i="13"/>
  <c r="F1533" i="13"/>
  <c r="F292" i="13"/>
  <c r="F941" i="13"/>
  <c r="F1571" i="13"/>
  <c r="F544" i="13"/>
  <c r="F352" i="13"/>
  <c r="F283" i="13"/>
  <c r="F1582" i="13"/>
  <c r="F390" i="13"/>
  <c r="F1043" i="13"/>
  <c r="F886" i="13"/>
  <c r="F180" i="13"/>
  <c r="F929" i="13"/>
  <c r="F1163" i="13"/>
  <c r="F231" i="13"/>
  <c r="F1285" i="13"/>
  <c r="F205" i="13"/>
  <c r="F1534" i="13"/>
  <c r="F1314" i="13"/>
  <c r="F542" i="13"/>
  <c r="F582" i="13"/>
  <c r="F1398" i="13"/>
  <c r="F464" i="13"/>
  <c r="F872" i="13"/>
  <c r="F1234" i="13"/>
  <c r="F502" i="13"/>
  <c r="F797" i="13"/>
  <c r="F753" i="13"/>
  <c r="F74" i="13"/>
  <c r="F1290" i="13"/>
  <c r="F1593" i="13"/>
  <c r="F485" i="13"/>
  <c r="F1312" i="13"/>
  <c r="F1673" i="13"/>
  <c r="F1573" i="13"/>
  <c r="F738" i="13"/>
  <c r="F1558" i="13"/>
  <c r="F1129" i="13"/>
  <c r="F927" i="13"/>
  <c r="F146" i="13"/>
  <c r="F688" i="13"/>
  <c r="F90" i="13"/>
  <c r="F1047" i="13"/>
  <c r="F1615" i="13"/>
  <c r="F1214" i="13"/>
  <c r="D39" i="37"/>
  <c r="E39" i="37" s="1"/>
  <c r="N51" i="13"/>
  <c r="J86" i="1" s="1"/>
  <c r="L90" i="38"/>
  <c r="E295" i="13" s="1"/>
  <c r="I54" i="38"/>
  <c r="L179" i="12"/>
  <c r="C34" i="11"/>
  <c r="L67" i="38"/>
  <c r="J50" i="13"/>
  <c r="D14" i="37"/>
  <c r="E14" i="37" s="1"/>
  <c r="K26" i="13"/>
  <c r="K4" i="13"/>
  <c r="F269" i="13"/>
  <c r="F572" i="13"/>
  <c r="F334" i="13"/>
  <c r="F691" i="13"/>
  <c r="F1663" i="13"/>
  <c r="F453" i="13"/>
  <c r="F1604" i="13"/>
  <c r="F1116" i="13"/>
  <c r="F1717" i="13"/>
  <c r="F1042" i="13"/>
  <c r="F599" i="13"/>
  <c r="F1668" i="13"/>
  <c r="F42" i="13"/>
  <c r="F824" i="13"/>
  <c r="F1199" i="13"/>
  <c r="F1015" i="13"/>
  <c r="F1553" i="13"/>
  <c r="F735" i="13"/>
  <c r="F803" i="13"/>
  <c r="F1497" i="13"/>
  <c r="F736" i="13"/>
  <c r="F916" i="13"/>
  <c r="F92" i="13"/>
  <c r="F1022" i="13"/>
  <c r="F877" i="13"/>
  <c r="F284" i="13"/>
  <c r="F605" i="13"/>
  <c r="F1224" i="13"/>
  <c r="F115" i="13"/>
  <c r="F143" i="13"/>
  <c r="F301" i="13"/>
  <c r="F911" i="13"/>
  <c r="F714" i="13"/>
  <c r="F798" i="13"/>
  <c r="F1327" i="13"/>
  <c r="F1696" i="13"/>
  <c r="F796" i="13"/>
  <c r="F1710" i="13"/>
  <c r="F316" i="13"/>
  <c r="F1347" i="13"/>
  <c r="F1175" i="13"/>
  <c r="F549" i="13"/>
  <c r="F885" i="13"/>
  <c r="F197" i="13"/>
  <c r="F721" i="13"/>
  <c r="F430" i="13"/>
  <c r="F1537" i="13"/>
  <c r="F1248" i="13"/>
  <c r="F172" i="13"/>
  <c r="F1493" i="13"/>
  <c r="F689" i="13"/>
  <c r="F370" i="13"/>
  <c r="F779" i="13"/>
  <c r="F1536" i="13"/>
  <c r="F1727" i="13"/>
  <c r="F1575" i="13"/>
  <c r="F1456" i="13"/>
  <c r="F998" i="13"/>
  <c r="F647" i="13"/>
  <c r="F271" i="13"/>
  <c r="F1441" i="13"/>
  <c r="F1597" i="13"/>
  <c r="F1612" i="13"/>
  <c r="F920" i="13"/>
  <c r="F1157" i="13"/>
  <c r="F303" i="13"/>
  <c r="F285" i="13"/>
  <c r="F590" i="13"/>
  <c r="F1124" i="13"/>
  <c r="F1168" i="13"/>
  <c r="Q50" i="38"/>
  <c r="J88" i="38" s="1"/>
  <c r="E88" i="38"/>
  <c r="R50" i="38"/>
  <c r="D40" i="37"/>
  <c r="E40" i="37" s="1"/>
  <c r="L91" i="38"/>
  <c r="N52" i="13"/>
  <c r="J87" i="1" s="1"/>
  <c r="Q59" i="38"/>
  <c r="J97" i="38" s="1"/>
  <c r="E97" i="38"/>
  <c r="L55" i="13"/>
  <c r="D31" i="37"/>
  <c r="E31" i="37" s="1"/>
  <c r="L83" i="38"/>
  <c r="D408" i="13" s="1"/>
  <c r="K39" i="13"/>
  <c r="K14" i="13"/>
  <c r="J15" i="13"/>
  <c r="I22" i="38"/>
  <c r="L173" i="12"/>
  <c r="K173" i="12"/>
  <c r="K91" i="12" s="1"/>
  <c r="N69" i="13" s="1"/>
  <c r="J52" i="13"/>
  <c r="D16" i="37"/>
  <c r="E16" i="37" s="1"/>
  <c r="L69" i="38"/>
  <c r="C89" i="13" s="1"/>
  <c r="K28" i="13"/>
  <c r="K6" i="13"/>
  <c r="I56" i="38"/>
  <c r="N55" i="13"/>
  <c r="J90" i="1" s="1"/>
  <c r="L94" i="38"/>
  <c r="E880" i="13" s="1"/>
  <c r="D43" i="37"/>
  <c r="E43" i="37" s="1"/>
  <c r="L73" i="38"/>
  <c r="C219" i="13" s="1"/>
  <c r="J56" i="13"/>
  <c r="D20" i="37"/>
  <c r="E20" i="37" s="1"/>
  <c r="K10" i="13"/>
  <c r="K32" i="13"/>
  <c r="P77" i="13"/>
  <c r="L92" i="1"/>
  <c r="D38" i="37"/>
  <c r="E38" i="37" s="1"/>
  <c r="N50" i="13"/>
  <c r="J85" i="1" s="1"/>
  <c r="L89" i="38"/>
  <c r="E198" i="13" s="1"/>
  <c r="E67" i="38"/>
  <c r="L89" i="1"/>
  <c r="P74" i="13"/>
  <c r="L51" i="13"/>
  <c r="D27" i="37"/>
  <c r="E27" i="37" s="1"/>
  <c r="L79" i="38"/>
  <c r="D138" i="13" s="1"/>
  <c r="K35" i="13"/>
  <c r="K11" i="13"/>
  <c r="I23" i="38"/>
  <c r="Q58" i="38"/>
  <c r="J96" i="38" s="1"/>
  <c r="E96" i="38"/>
  <c r="K13" i="13"/>
  <c r="J49" i="13"/>
  <c r="L66" i="38"/>
  <c r="C24" i="13" s="1"/>
  <c r="D13" i="37"/>
  <c r="E13" i="37" s="1"/>
  <c r="K3" i="13"/>
  <c r="K25" i="13"/>
  <c r="P71" i="13"/>
  <c r="L86" i="1"/>
  <c r="R59" i="38"/>
  <c r="E79" i="38"/>
  <c r="K12" i="13"/>
  <c r="D28" i="11" l="1"/>
  <c r="D34" i="11"/>
  <c r="B55" i="1" s="1"/>
  <c r="F50" i="37"/>
  <c r="F51" i="37" s="1"/>
  <c r="E84" i="1"/>
  <c r="J69" i="13"/>
  <c r="E91" i="1"/>
  <c r="J76" i="13"/>
  <c r="L74" i="13"/>
  <c r="G89" i="1"/>
  <c r="E1043" i="13"/>
  <c r="E783" i="13"/>
  <c r="G91" i="1"/>
  <c r="L76" i="13"/>
  <c r="D243" i="13"/>
  <c r="D183" i="13"/>
  <c r="G84" i="1"/>
  <c r="L69" i="13"/>
  <c r="J71" i="13"/>
  <c r="E86" i="1"/>
  <c r="L90" i="1"/>
  <c r="P75" i="13"/>
  <c r="C60" i="13"/>
  <c r="C46" i="13"/>
  <c r="J72" i="13"/>
  <c r="E87" i="1"/>
  <c r="F25" i="37"/>
  <c r="L97" i="38"/>
  <c r="E1302" i="13" s="1"/>
  <c r="N58" i="13"/>
  <c r="J93" i="1" s="1"/>
  <c r="D46" i="37"/>
  <c r="E46" i="37" s="1"/>
  <c r="L75" i="13"/>
  <c r="G90" i="1"/>
  <c r="L71" i="38"/>
  <c r="J54" i="13"/>
  <c r="D18" i="37"/>
  <c r="E18" i="37" s="1"/>
  <c r="K30" i="13"/>
  <c r="K8" i="13"/>
  <c r="L96" i="38"/>
  <c r="D45" i="37"/>
  <c r="E45" i="37" s="1"/>
  <c r="N57" i="13"/>
  <c r="J92" i="1" s="1"/>
  <c r="N59" i="13"/>
  <c r="D37" i="37"/>
  <c r="E37" i="37" s="1"/>
  <c r="L88" i="38"/>
  <c r="E100" i="13" s="1"/>
  <c r="N49" i="13"/>
  <c r="J84" i="1" s="1"/>
  <c r="J73" i="13"/>
  <c r="E88" i="1"/>
  <c r="L85" i="1"/>
  <c r="P70" i="13"/>
  <c r="E523" i="13"/>
  <c r="E393" i="13"/>
  <c r="G87" i="1"/>
  <c r="L72" i="13"/>
  <c r="F13" i="37"/>
  <c r="D363" i="13"/>
  <c r="D273" i="13"/>
  <c r="E90" i="1"/>
  <c r="J75" i="13"/>
  <c r="L70" i="13"/>
  <c r="G85" i="1"/>
  <c r="G86" i="1"/>
  <c r="L71" i="13"/>
  <c r="K15" i="13"/>
  <c r="J16" i="13"/>
  <c r="K16" i="13" s="1"/>
  <c r="J70" i="13"/>
  <c r="E85" i="1"/>
  <c r="G88" i="1"/>
  <c r="L73" i="13"/>
  <c r="D123" i="13"/>
  <c r="D93" i="13"/>
  <c r="E1563" i="13" l="1"/>
  <c r="E1173" i="13"/>
  <c r="F14" i="37"/>
  <c r="F15" i="37" s="1"/>
  <c r="F16" i="37" s="1"/>
  <c r="F17" i="37" s="1"/>
  <c r="F18" i="37" s="1"/>
  <c r="F19" i="37" s="1"/>
  <c r="F20" i="37" s="1"/>
  <c r="F26" i="37"/>
  <c r="F27" i="37" s="1"/>
  <c r="F28" i="37" s="1"/>
  <c r="F29" i="37" s="1"/>
  <c r="F30" i="37" s="1"/>
  <c r="F31" i="37" s="1"/>
  <c r="F32" i="37" s="1"/>
  <c r="F33" i="37" s="1"/>
  <c r="F34" i="37" s="1"/>
  <c r="F35" i="37" s="1"/>
  <c r="I25" i="37" s="1"/>
  <c r="F37" i="37"/>
  <c r="J74" i="13"/>
  <c r="E89" i="1"/>
  <c r="N79" i="13"/>
  <c r="J94" i="1"/>
  <c r="C234" i="13"/>
  <c r="C176" i="13"/>
  <c r="F52" i="37"/>
  <c r="F53" i="37" s="1"/>
  <c r="F54" i="37" s="1"/>
  <c r="F55" i="37" s="1"/>
  <c r="F56" i="37" s="1"/>
  <c r="K25" i="37"/>
  <c r="J51" i="1" l="1"/>
  <c r="I26" i="37"/>
  <c r="F21" i="37"/>
  <c r="F22" i="37" s="1"/>
  <c r="F23" i="37" s="1"/>
  <c r="I13" i="37" s="1"/>
  <c r="F57" i="37"/>
  <c r="F38" i="37"/>
  <c r="F39" i="37" s="1"/>
  <c r="F40" i="37" s="1"/>
  <c r="F41" i="37" s="1"/>
  <c r="F42" i="37" s="1"/>
  <c r="F43" i="37" s="1"/>
  <c r="K13" i="37"/>
  <c r="I51" i="1" l="1"/>
  <c r="F44" i="37"/>
  <c r="F45" i="37" s="1"/>
  <c r="F46" i="37" s="1"/>
  <c r="F47" i="37" s="1"/>
  <c r="I38" i="37" s="1"/>
  <c r="I14" i="37"/>
  <c r="F58" i="37"/>
  <c r="F59" i="37" s="1"/>
  <c r="I50" i="37" s="1"/>
  <c r="I37" i="37" l="1"/>
  <c r="I49" i="37"/>
  <c r="K37" i="37"/>
  <c r="K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 xml:space="preserve"> </author>
  </authors>
  <commentList>
    <comment ref="C11" authorId="0" shapeId="0" xr:uid="{00000000-0006-0000-0300-000001000000}">
      <text>
        <r>
          <rPr>
            <b/>
            <sz val="8"/>
            <color indexed="81"/>
            <rFont val="Tahoma"/>
          </rPr>
          <t>Autor:</t>
        </r>
        <r>
          <rPr>
            <sz val="8"/>
            <color indexed="81"/>
            <rFont val="Tahoma"/>
          </rPr>
          <t xml:space="preserve">
Check if 11n Module is used. (Not compatible with Turbo Modus.)</t>
        </r>
      </text>
    </comment>
    <comment ref="B29" authorId="1" shapeId="0" xr:uid="{00000000-0006-0000-0300-000002000000}">
      <text>
        <r>
          <rPr>
            <sz val="8"/>
            <color indexed="81"/>
            <rFont val="Tahoma"/>
            <family val="2"/>
          </rPr>
          <t>If 40 MHz / Turbo is not available any reduction error can be ignored since no real calculation takes place.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akohlman</author>
  </authors>
  <commentList>
    <comment ref="AG2" authorId="0" shapeId="0" xr:uid="{00000000-0006-0000-0400-000001000000}">
      <text>
        <r>
          <rPr>
            <b/>
            <sz val="8"/>
            <color indexed="81"/>
            <rFont val="Tahoma"/>
          </rPr>
          <t xml:space="preserve"> Siehe M2, nur Kabel die auch als Kabel 1 verfügbar sind, können als Kabel 2 ausgwählt werden.</t>
        </r>
      </text>
    </comment>
    <comment ref="B4" authorId="0" shapeId="0" xr:uid="{00000000-0006-0000-0400-000002000000}">
      <text>
        <r>
          <rPr>
            <b/>
            <sz val="8"/>
            <color indexed="81"/>
            <rFont val="Tahoma"/>
          </rPr>
          <t>INDEX</t>
        </r>
        <r>
          <rPr>
            <sz val="8"/>
            <color indexed="81"/>
            <rFont val="Tahoma"/>
            <family val="2"/>
          </rPr>
          <t xml:space="preserve"> für die Spalte Access Points;
ist abhängig von der Anzahl der eingetragenen APs.</t>
        </r>
      </text>
    </comment>
    <comment ref="C4" authorId="0" shapeId="0" xr:uid="{00000000-0006-0000-0400-000003000000}">
      <text>
        <r>
          <rPr>
            <b/>
            <sz val="8"/>
            <color indexed="81"/>
            <rFont val="Tahoma"/>
            <family val="2"/>
          </rPr>
          <t>INDEX</t>
        </r>
        <r>
          <rPr>
            <sz val="8"/>
            <color indexed="81"/>
            <rFont val="Tahoma"/>
          </rPr>
          <t xml:space="preserve"> für die Spalte Verfügbarkeit;
ist abhängig von der Anzahl der eingetragenen APs.</t>
        </r>
      </text>
    </comment>
    <comment ref="A6" authorId="1" shapeId="0" xr:uid="{00000000-0006-0000-0400-000004000000}">
      <text>
        <r>
          <rPr>
            <b/>
            <sz val="8"/>
            <color indexed="81"/>
            <rFont val="Tahoma"/>
          </rPr>
          <t>akohlman:</t>
        </r>
        <r>
          <rPr>
            <sz val="8"/>
            <color indexed="81"/>
            <rFont val="Tahoma"/>
          </rPr>
          <t xml:space="preserve">
For future use</t>
        </r>
      </text>
    </comment>
    <comment ref="D6" authorId="0" shapeId="0" xr:uid="{00000000-0006-0000-0400-000005000000}">
      <text>
        <r>
          <rPr>
            <b/>
            <sz val="8"/>
            <color indexed="81"/>
            <rFont val="Tahoma"/>
          </rPr>
          <t xml:space="preserve"> Hilfsindex</t>
        </r>
        <r>
          <rPr>
            <sz val="8"/>
            <color indexed="81"/>
            <rFont val="Tahoma"/>
            <family val="2"/>
          </rPr>
          <t xml:space="preserve"> zur kompakten Darstellung der verfügbaren APs.</t>
        </r>
      </text>
    </comment>
    <comment ref="E6" authorId="0" shapeId="0" xr:uid="{00000000-0006-0000-0400-000006000000}">
      <text>
        <r>
          <rPr>
            <b/>
            <sz val="8"/>
            <color indexed="81"/>
            <rFont val="Tahoma"/>
          </rPr>
          <t>Liste der angebotenen APs für Punkt A in SelectionTables.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Autor</author>
  </authors>
  <commentList>
    <comment ref="G2" authorId="0" shapeId="0" xr:uid="{00000000-0006-0000-0600-000001000000}">
      <text>
        <r>
          <rPr>
            <b/>
            <sz val="8"/>
            <color indexed="81"/>
            <rFont val="Tahoma"/>
          </rPr>
          <t>INDEX</t>
        </r>
        <r>
          <rPr>
            <sz val="8"/>
            <color indexed="81"/>
            <rFont val="Tahoma"/>
            <family val="2"/>
          </rPr>
          <t xml:space="preserve"> für alle AP. Genutzt in </t>
        </r>
        <r>
          <rPr>
            <b/>
            <sz val="8"/>
            <color indexed="81"/>
            <rFont val="Tahoma"/>
          </rPr>
          <t xml:space="preserve">PointATempTables </t>
        </r>
        <r>
          <rPr>
            <sz val="8"/>
            <color indexed="81"/>
            <rFont val="Tahoma"/>
            <family val="2"/>
          </rPr>
          <t xml:space="preserve">und </t>
        </r>
        <r>
          <rPr>
            <b/>
            <sz val="8"/>
            <color indexed="81"/>
            <rFont val="Tahoma"/>
          </rPr>
          <t>PointBTempTables.</t>
        </r>
      </text>
    </comment>
    <comment ref="A5" authorId="0" shapeId="0" xr:uid="{00000000-0006-0000-0600-000002000000}">
      <text>
        <r>
          <rPr>
            <b/>
            <sz val="8"/>
            <color indexed="81"/>
            <rFont val="Tahoma"/>
            <family val="2"/>
          </rPr>
          <t>INDEX</t>
        </r>
        <r>
          <rPr>
            <sz val="8"/>
            <color indexed="81"/>
            <rFont val="Tahoma"/>
            <family val="2"/>
          </rPr>
          <t xml:space="preserve"> für alle AP Indizes. Genutzt in </t>
        </r>
        <r>
          <rPr>
            <b/>
            <sz val="8"/>
            <color indexed="81"/>
            <rFont val="Tahoma"/>
          </rPr>
          <t xml:space="preserve">PointATempTables </t>
        </r>
        <r>
          <rPr>
            <sz val="8"/>
            <color indexed="81"/>
            <rFont val="Tahoma"/>
            <family val="2"/>
          </rPr>
          <t xml:space="preserve">und </t>
        </r>
        <r>
          <rPr>
            <b/>
            <sz val="8"/>
            <color indexed="81"/>
            <rFont val="Tahoma"/>
          </rPr>
          <t>PointBTempTables.</t>
        </r>
      </text>
    </comment>
    <comment ref="K6" authorId="1" shapeId="0" xr:uid="{00000000-0006-0000-0600-000003000000}">
      <text>
        <r>
          <rPr>
            <b/>
            <sz val="8"/>
            <color indexed="81"/>
            <rFont val="Tahoma"/>
          </rPr>
          <t>Autor:</t>
        </r>
        <r>
          <rPr>
            <sz val="8"/>
            <color indexed="81"/>
            <rFont val="Tahoma"/>
          </rPr>
          <t xml:space="preserve">
Used for Airlancer only</t>
        </r>
      </text>
    </comment>
    <comment ref="K171" authorId="1" shapeId="0" xr:uid="{00000000-0006-0000-0600-000004000000}">
      <text>
        <r>
          <rPr>
            <b/>
            <sz val="8"/>
            <color indexed="81"/>
            <rFont val="Tahoma"/>
          </rPr>
          <t>Autor:</t>
        </r>
        <r>
          <rPr>
            <sz val="8"/>
            <color indexed="81"/>
            <rFont val="Tahoma"/>
          </rPr>
          <t xml:space="preserve">
For Airlancer only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2" authorId="0" shapeId="0" xr:uid="{00000000-0006-0000-0800-000001000000}">
      <text>
        <r>
          <rPr>
            <b/>
            <sz val="8"/>
            <color indexed="81"/>
            <rFont val="Tahoma"/>
          </rPr>
          <t>INDEX</t>
        </r>
        <r>
          <rPr>
            <sz val="8"/>
            <color indexed="81"/>
            <rFont val="Tahoma"/>
            <family val="2"/>
          </rPr>
          <t xml:space="preserve"> für alle AP. Genutzt in </t>
        </r>
        <r>
          <rPr>
            <b/>
            <sz val="8"/>
            <color indexed="81"/>
            <rFont val="Tahoma"/>
          </rPr>
          <t xml:space="preserve">PointATempTables </t>
        </r>
        <r>
          <rPr>
            <sz val="8"/>
            <color indexed="81"/>
            <rFont val="Tahoma"/>
            <family val="2"/>
          </rPr>
          <t xml:space="preserve">und </t>
        </r>
        <r>
          <rPr>
            <b/>
            <sz val="8"/>
            <color indexed="81"/>
            <rFont val="Tahoma"/>
          </rPr>
          <t>PointBTempTables.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K6" authorId="0" shapeId="0" xr:uid="{00000000-0006-0000-0B00-000001000000}">
      <text>
        <r>
          <rPr>
            <b/>
            <sz val="8"/>
            <color indexed="81"/>
            <rFont val="Tahoma"/>
          </rPr>
          <t>Autor:</t>
        </r>
        <r>
          <rPr>
            <sz val="8"/>
            <color indexed="81"/>
            <rFont val="Tahoma"/>
          </rPr>
          <t xml:space="preserve">
For Airlancer only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3" authorId="0" shapeId="0" xr:uid="{00000000-0006-0000-1200-000001000000}">
      <text>
        <r>
          <rPr>
            <b/>
            <sz val="8"/>
            <color indexed="81"/>
            <rFont val="Tahoma"/>
          </rPr>
          <t>Autor:</t>
        </r>
        <r>
          <rPr>
            <sz val="8"/>
            <color indexed="81"/>
            <rFont val="Tahoma"/>
          </rPr>
          <t xml:space="preserve">
Airlancer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30" authorId="0" shapeId="0" xr:uid="{00000000-0006-0000-1600-000001000000}">
      <text>
        <r>
          <rPr>
            <b/>
            <sz val="8"/>
            <color indexed="81"/>
            <rFont val="Tahoma"/>
          </rPr>
          <t xml:space="preserve">Minimum </t>
        </r>
        <r>
          <rPr>
            <sz val="8"/>
            <color indexed="81"/>
            <rFont val="Tahoma"/>
            <family val="2"/>
          </rPr>
          <t>between Antenna Point 1 and Antenna Point 2.</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N2" authorId="0" shapeId="0" xr:uid="{00000000-0006-0000-1900-000001000000}">
      <text>
        <r>
          <rPr>
            <b/>
            <sz val="8"/>
            <color indexed="81"/>
            <rFont val="Tahoma"/>
          </rPr>
          <t>Autor:</t>
        </r>
        <r>
          <rPr>
            <sz val="8"/>
            <color indexed="81"/>
            <rFont val="Tahoma"/>
          </rPr>
          <t xml:space="preserve">
Used to generate display settings for calculated results.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 xml:space="preserve"> </author>
  </authors>
  <commentList>
    <comment ref="C2" authorId="0" shapeId="0" xr:uid="{00000000-0006-0000-1A00-000001000000}">
      <text>
        <r>
          <rPr>
            <b/>
            <sz val="8"/>
            <color indexed="81"/>
            <rFont val="Tahoma"/>
          </rPr>
          <t>Autor:</t>
        </r>
        <r>
          <rPr>
            <sz val="8"/>
            <color indexed="81"/>
            <rFont val="Tahoma"/>
          </rPr>
          <t xml:space="preserve">
Max EIRP is 20 for 2,4GHz and 30 for 5GHz.</t>
        </r>
      </text>
    </comment>
    <comment ref="L10" authorId="1" shapeId="0" xr:uid="{00000000-0006-0000-1A00-000002000000}">
      <text>
        <r>
          <rPr>
            <b/>
            <sz val="8"/>
            <color indexed="81"/>
            <rFont val="Tahoma"/>
            <family val="2"/>
          </rPr>
          <t xml:space="preserve"> Dummy</t>
        </r>
      </text>
    </comment>
    <comment ref="M10" authorId="1" shapeId="0" xr:uid="{00000000-0006-0000-1A00-000003000000}">
      <text>
        <r>
          <rPr>
            <b/>
            <sz val="8"/>
            <color indexed="81"/>
            <rFont val="Tahoma"/>
            <family val="2"/>
          </rPr>
          <t xml:space="preserve"> Dummy</t>
        </r>
      </text>
    </comment>
    <comment ref="N10" authorId="1" shapeId="0" xr:uid="{00000000-0006-0000-1A00-000004000000}">
      <text>
        <r>
          <rPr>
            <b/>
            <sz val="8"/>
            <color indexed="81"/>
            <rFont val="Tahoma"/>
            <family val="2"/>
          </rPr>
          <t xml:space="preserve"> Dummy</t>
        </r>
      </text>
    </comment>
    <comment ref="L12" authorId="1" shapeId="0" xr:uid="{00000000-0006-0000-1A00-000005000000}">
      <text>
        <r>
          <rPr>
            <b/>
            <sz val="8"/>
            <color indexed="81"/>
            <rFont val="Tahoma"/>
          </rPr>
          <t>max distance, due to timing issues</t>
        </r>
      </text>
    </comment>
    <comment ref="M12" authorId="1" shapeId="0" xr:uid="{00000000-0006-0000-1A00-000006000000}">
      <text>
        <r>
          <rPr>
            <b/>
            <sz val="8"/>
            <color indexed="81"/>
            <rFont val="Tahoma"/>
          </rPr>
          <t>max distance, due to timing issues</t>
        </r>
      </text>
    </comment>
    <comment ref="N12" authorId="1" shapeId="0" xr:uid="{00000000-0006-0000-1A00-000007000000}">
      <text>
        <r>
          <rPr>
            <b/>
            <sz val="8"/>
            <color indexed="81"/>
            <rFont val="Tahoma"/>
          </rPr>
          <t>max distance, due to timing issues</t>
        </r>
      </text>
    </comment>
  </commentList>
</comments>
</file>

<file path=xl/sharedStrings.xml><?xml version="1.0" encoding="utf-8"?>
<sst xmlns="http://schemas.openxmlformats.org/spreadsheetml/2006/main" count="2897" uniqueCount="732">
  <si>
    <t>802.11b/g</t>
  </si>
  <si>
    <t>802.11a</t>
  </si>
  <si>
    <t>Data Rate</t>
  </si>
  <si>
    <t>Gain 2,4GHz</t>
  </si>
  <si>
    <t>Gain 5GHz</t>
  </si>
  <si>
    <t>dB</t>
  </si>
  <si>
    <t>AirLancer Extender O-18a</t>
  </si>
  <si>
    <t>AirLancer Extender O-30</t>
  </si>
  <si>
    <t>AirLancer Extender O-70</t>
  </si>
  <si>
    <t>AirLancer Extender O-D60a</t>
  </si>
  <si>
    <t>AirLancer Extender O-D80g</t>
  </si>
  <si>
    <t>Attenuation 2,4GHz</t>
  </si>
  <si>
    <t>Attenuation 5GHz</t>
  </si>
  <si>
    <t>AirLancer Cable NJ-NP 3m</t>
  </si>
  <si>
    <t>AirLancer Cable NJ-NP 6m</t>
  </si>
  <si>
    <t>AirLancer Cable NJ-NP 9m</t>
  </si>
  <si>
    <t>O-30-Cable 9m</t>
  </si>
  <si>
    <t>O-70-Cable 6m</t>
  </si>
  <si>
    <t>O-9a-Cable 1m</t>
  </si>
  <si>
    <t>Antenna</t>
  </si>
  <si>
    <t>Surge Arrestor</t>
  </si>
  <si>
    <t>Cable 1</t>
  </si>
  <si>
    <t>Cable 2</t>
  </si>
  <si>
    <t>WLAN Module</t>
  </si>
  <si>
    <t>802.11b/g (2,4 GHz)</t>
  </si>
  <si>
    <t>Senao NMP-8601</t>
  </si>
  <si>
    <t>802.11a (5 GHz)</t>
  </si>
  <si>
    <t>Wistron CM6</t>
  </si>
  <si>
    <t>Wistron CM9</t>
  </si>
  <si>
    <t>Wistron CM10</t>
  </si>
  <si>
    <t>Alpha Networks WMP-G02</t>
  </si>
  <si>
    <t>Compex WLM54G</t>
  </si>
  <si>
    <t>"bad weather" Reserve [dB]</t>
  </si>
  <si>
    <t>Access Points / Client Adapter</t>
  </si>
  <si>
    <t>Select Point A</t>
  </si>
  <si>
    <t>Select Point B</t>
  </si>
  <si>
    <t>Auswahltabellen für Drop-Down Menüs, sowie Indizierung zur Tabellenauswahl</t>
  </si>
  <si>
    <t>Frequency Band</t>
  </si>
  <si>
    <t>Cable 1 \ Antenna</t>
  </si>
  <si>
    <t>Access Point \ Cable 1</t>
  </si>
  <si>
    <t>Access Point \ WLAN Module</t>
  </si>
  <si>
    <t>Atheros AR5414</t>
  </si>
  <si>
    <t>Atheros AR5212/AR5112</t>
  </si>
  <si>
    <t>Atheros AR5212/AR5111/AR2111</t>
  </si>
  <si>
    <t>Atheros AR5213/AR5112</t>
  </si>
  <si>
    <t>Atheros AR5213/AR2112</t>
  </si>
  <si>
    <t>Atheros AR2414</t>
  </si>
  <si>
    <t>Point A</t>
  </si>
  <si>
    <t>General</t>
  </si>
  <si>
    <t>Attenuation</t>
  </si>
  <si>
    <t>db</t>
  </si>
  <si>
    <t>Gain</t>
  </si>
  <si>
    <t>"bad weather" Reserve</t>
  </si>
  <si>
    <t>Point B</t>
  </si>
  <si>
    <t>Compatibility</t>
  </si>
  <si>
    <t>Max EIRP</t>
  </si>
  <si>
    <t>CableLoss Receiver</t>
  </si>
  <si>
    <t>Receiver Gain</t>
  </si>
  <si>
    <t>EIRP Sender</t>
  </si>
  <si>
    <t>EIRP Sender (incl. Reduction)</t>
  </si>
  <si>
    <t>Active Reduction</t>
  </si>
  <si>
    <t>"bad weather"</t>
  </si>
  <si>
    <t>Max Distance A to B</t>
  </si>
  <si>
    <t>Error</t>
  </si>
  <si>
    <t>Reduction Error</t>
  </si>
  <si>
    <t>Info</t>
  </si>
  <si>
    <t>Notification</t>
  </si>
  <si>
    <t>DO NOT ADD OR REMOVE ROWS AND/OR COLUMNS, IT WOULD CAUSE SEVERE ERRORS IN THE CALCULATIONS! || WEDER ZEILEN NOCH SPALTEN HINZUFÜGEN ODER ENTFERNEN, SCHWERWIEGENDE FEHLER WÄREN DIE FOLGE!</t>
  </si>
  <si>
    <t>End Results</t>
  </si>
  <si>
    <t>Antenna gain</t>
  </si>
  <si>
    <t>Mast Height</t>
  </si>
  <si>
    <t>Show Calculations</t>
  </si>
  <si>
    <t>Display Settings</t>
  </si>
  <si>
    <t>Distance</t>
  </si>
  <si>
    <t>Max Distance B to A</t>
  </si>
  <si>
    <t>Disclaimer</t>
  </si>
  <si>
    <t>Results</t>
  </si>
  <si>
    <t>Max Distance (Bidirectional)</t>
  </si>
  <si>
    <t>Wistron DNMA-83</t>
  </si>
  <si>
    <t>Tx-Power (20MHz)</t>
  </si>
  <si>
    <t>Rx-Sensitivity (20MHz)</t>
  </si>
  <si>
    <t>Tx-Power (40MHz)</t>
  </si>
  <si>
    <t>Rx-Sensitivity (40MHz)</t>
  </si>
  <si>
    <t>Tx (20MHz)</t>
  </si>
  <si>
    <t>Rx (20MHz)</t>
  </si>
  <si>
    <t>Tx (40MHz)</t>
  </si>
  <si>
    <t>Rx (40MHz)</t>
  </si>
  <si>
    <t>DR (40MHz)</t>
  </si>
  <si>
    <t>DR (20MHz)</t>
  </si>
  <si>
    <t>Data Rate (40MHz)</t>
  </si>
  <si>
    <t>Data Rate (20MHz)</t>
  </si>
  <si>
    <t>Access Point / Client Adapter</t>
  </si>
  <si>
    <t>A to B (20MHz)</t>
  </si>
  <si>
    <t>B to A (20MHz)</t>
  </si>
  <si>
    <t>A to B (40MHz)</t>
  </si>
  <si>
    <t>B to A (40MHz)</t>
  </si>
  <si>
    <t>Data Rate (Inverted)</t>
  </si>
  <si>
    <t>Data Rate (Rounded Down for Diagram)</t>
  </si>
  <si>
    <t>Data either calculated or drawn from other tables</t>
  </si>
  <si>
    <t>Atheros AR9160/9106</t>
  </si>
  <si>
    <t>WLAN Chipset</t>
  </si>
  <si>
    <t>AR5414</t>
  </si>
  <si>
    <t>AR5212/AR5112</t>
  </si>
  <si>
    <t>AR5213/AR5112</t>
  </si>
  <si>
    <t>AR5212/AR5111/AR2111</t>
  </si>
  <si>
    <t>AR5213/AR2112</t>
  </si>
  <si>
    <t>AR2414</t>
  </si>
  <si>
    <t>AR9160/AR9106</t>
  </si>
  <si>
    <t>Tx (Normal)</t>
  </si>
  <si>
    <t>Rx (Normal)</t>
  </si>
  <si>
    <t>DR (Turbo)</t>
  </si>
  <si>
    <t>Tx (Turbo)</t>
  </si>
  <si>
    <t>Rx (Turbo)</t>
  </si>
  <si>
    <t>DR (Normal)</t>
  </si>
  <si>
    <t>802.11g/n (2,4 GHz)</t>
  </si>
  <si>
    <t>802.11a/n (5 GHz)</t>
  </si>
  <si>
    <t>802.11a/g</t>
  </si>
  <si>
    <t>802.11n</t>
  </si>
  <si>
    <t>results are</t>
  </si>
  <si>
    <t>ignored for</t>
  </si>
  <si>
    <t>Legend</t>
  </si>
  <si>
    <t>WLAN-Chipsatz:</t>
  </si>
  <si>
    <t>Kabel 1:</t>
  </si>
  <si>
    <t>Kabel 2:</t>
  </si>
  <si>
    <t>Antenne:</t>
  </si>
  <si>
    <t>(Richtfunkverbindungen)</t>
  </si>
  <si>
    <t>Berechnung der Masthöhe</t>
  </si>
  <si>
    <t>Überspannungsschutz:</t>
  </si>
  <si>
    <t>Ja</t>
  </si>
  <si>
    <t>Nein</t>
  </si>
  <si>
    <t>Andere Antenne</t>
  </si>
  <si>
    <t>Anderes Kabel</t>
  </si>
  <si>
    <t>Kein Kabel</t>
  </si>
  <si>
    <t>Punkt A - Antennengewinn [dBm]</t>
  </si>
  <si>
    <t>Punkt B - Antennengewinn [dBm]</t>
  </si>
  <si>
    <t>Antennengewinn durch Kabel und andere Dämpfungen verringert. (Für Einstellungen in LANconfig)</t>
  </si>
  <si>
    <t>Konfiguration darf auf Grund von Bestimmungen nicht eingesetzt werden.</t>
  </si>
  <si>
    <t>OAP-310 100Mbit/s Mark</t>
  </si>
  <si>
    <t>Selection A</t>
  </si>
  <si>
    <t>Index</t>
  </si>
  <si>
    <t>Standard Antenne</t>
  </si>
  <si>
    <t>Selection B</t>
  </si>
  <si>
    <t>Selected Frequency Band</t>
  </si>
  <si>
    <t>Standard Modul</t>
  </si>
  <si>
    <t>AR5414 (XAC/XAP/OAP)</t>
  </si>
  <si>
    <t>Default Antenna for AP</t>
  </si>
  <si>
    <t>Integrierte Antenne</t>
  </si>
  <si>
    <t>Language Selection</t>
  </si>
  <si>
    <t>DE</t>
  </si>
  <si>
    <t>EN</t>
  </si>
  <si>
    <t>German</t>
  </si>
  <si>
    <t>English</t>
  </si>
  <si>
    <t>WLAN-Standard:</t>
  </si>
  <si>
    <t>Antenna:</t>
  </si>
  <si>
    <t>Cable 1:</t>
  </si>
  <si>
    <t>Cable 2:</t>
  </si>
  <si>
    <t>(for P2P radio links)</t>
  </si>
  <si>
    <t>Antenna gain reduced by cable and other attenuations (for configuration in LANconfig)</t>
  </si>
  <si>
    <t>A</t>
  </si>
  <si>
    <t>B</t>
  </si>
  <si>
    <t>Gain:</t>
  </si>
  <si>
    <t>Attenuation:</t>
  </si>
  <si>
    <t>Dämpfung:</t>
  </si>
  <si>
    <t>Gewinn:</t>
  </si>
  <si>
    <t>Integrierte Antenne wird genutzt.</t>
  </si>
  <si>
    <t>Integrated Antenna?</t>
  </si>
  <si>
    <t>10 dB Schlechtwetter-Reserve:</t>
  </si>
  <si>
    <t>Entfernung zu Übertragungsrate</t>
  </si>
  <si>
    <t>Yes</t>
  </si>
  <si>
    <t>No</t>
  </si>
  <si>
    <t>Selection Errors</t>
  </si>
  <si>
    <t>Missing WLAN Module</t>
  </si>
  <si>
    <t>Missing WLAN Standard</t>
  </si>
  <si>
    <t>Missing Access Point</t>
  </si>
  <si>
    <t>WLAN-Standard wählen.</t>
  </si>
  <si>
    <t>Access Point wählen.</t>
  </si>
  <si>
    <t>Hilfe</t>
  </si>
  <si>
    <t>Help</t>
  </si>
  <si>
    <t>Chipsatz wählen.</t>
  </si>
  <si>
    <t>Zurück zum Kalkulator.</t>
  </si>
  <si>
    <t>Um herauszufinden, welcher WLAN-Chipsatz in Ihrem LANCOM Access Point benutzt wird, öffnen Sie LANmonitor und sehen Sie in dem Unterpunkt System-Informationen -&gt; Schnittstellen -&gt; WLAN nach, wie in der Grafik unten dargestellt.</t>
  </si>
  <si>
    <t>Senao NL-5354MP</t>
  </si>
  <si>
    <t>ES</t>
  </si>
  <si>
    <t>Chip-WLAN:</t>
  </si>
  <si>
    <t>Estándar-WLAN:</t>
  </si>
  <si>
    <t>Antena:</t>
  </si>
  <si>
    <t>Protector de sobretensión:</t>
  </si>
  <si>
    <t>10 dB de reserva para mal tiempo:</t>
  </si>
  <si>
    <t>Punto</t>
  </si>
  <si>
    <t>Otro cable</t>
  </si>
  <si>
    <t>Otra antena</t>
  </si>
  <si>
    <t>Ganancia:</t>
  </si>
  <si>
    <t>Atenuación:</t>
  </si>
  <si>
    <t>Ayuda</t>
  </si>
  <si>
    <t>Tasa de transmisión Bruto [Mbps]</t>
  </si>
  <si>
    <t>(Conexiones punto a punto)</t>
  </si>
  <si>
    <t>Proporción distancia-velocidad</t>
  </si>
  <si>
    <t>Calculación de la altura del mástil</t>
  </si>
  <si>
    <t>Punto A - Ganacia de antena [dBm]</t>
  </si>
  <si>
    <t>Punto B - Ganacia de antena [dBm]</t>
  </si>
  <si>
    <t>Ganancia de la antena, reducida por cables o otro tipo de atenuación. (Para utilizarlo en LANconfig)</t>
  </si>
  <si>
    <t>Para averiguar, que chip WLAN está utilizando en su punto de acceso, abre LANmonitor y mire en el apartado "Información del sistema" - "Interfaces" - "WLAN" como se puede ver en el dibujo adjunto.</t>
  </si>
  <si>
    <t>Volver al calculador de antenas.</t>
  </si>
  <si>
    <t xml:space="preserve">Exoneración de responsabilidad </t>
  </si>
  <si>
    <t>Los resultados mostrados aquí están basados en entornos idóneos y representan las distancias teóricamente posibles.  Varias influencias en el mundo real pueden producir interferencias complejas que son demasiado dinámicas para tenerlos todos en cuenta. Por esta misma razón todos los resultados tienen un valor teórico y LANCOM Systems no puede garantizar las distancias y velocidades en un caso concreto.</t>
  </si>
  <si>
    <t>Solo un canal de transmisión.</t>
  </si>
  <si>
    <t>El modo 40MHz no es compatible con el modo Turbo de Atheros.</t>
  </si>
  <si>
    <t>Por normas y leyes no se puede utilizar esta configuración.</t>
  </si>
  <si>
    <t>EL máximo posible son 100Mbps neto.</t>
  </si>
  <si>
    <t>Utilizar antena integrada.</t>
  </si>
  <si>
    <t>Seleccione estándar WLAN.</t>
  </si>
  <si>
    <t>Seleccione chip WLAN.</t>
  </si>
  <si>
    <t>Si</t>
  </si>
  <si>
    <t>Ningún cable</t>
  </si>
  <si>
    <t>Antena estándar</t>
  </si>
  <si>
    <t>Módulo estándar</t>
  </si>
  <si>
    <t>Version</t>
  </si>
  <si>
    <t>Versión</t>
  </si>
  <si>
    <t>Punto de Acceso:</t>
  </si>
  <si>
    <t>802.11a (5 GHz - BFWA)</t>
  </si>
  <si>
    <t>802.11a/n (5 GHz - BFWA)</t>
  </si>
  <si>
    <t>Nur ein Spatial Stream wird unterstützt.</t>
  </si>
  <si>
    <t>Only one spatial stream is supported.</t>
  </si>
  <si>
    <t>802.11a BFWA</t>
  </si>
  <si>
    <t>Wistron DNUA-81</t>
  </si>
  <si>
    <t>Atheros AR9170/9104</t>
  </si>
  <si>
    <t>AR9170/AR9104</t>
  </si>
  <si>
    <t>Verfügbarkeit</t>
  </si>
  <si>
    <t>Anzahl eingetragener Access Points</t>
  </si>
  <si>
    <t>Access Points</t>
  </si>
  <si>
    <t>Indexrahmen - nach Spalte</t>
  </si>
  <si>
    <t>H.Verfügbarkeit</t>
  </si>
  <si>
    <t>Verfügbare APs</t>
  </si>
  <si>
    <t>Antennen</t>
  </si>
  <si>
    <t>Anzahl eingetragener Antennen</t>
  </si>
  <si>
    <t>Verfügbare Antennen</t>
  </si>
  <si>
    <t>Spanish</t>
  </si>
  <si>
    <t>Anzahl eingetragener Kabel</t>
  </si>
  <si>
    <t>Verfügbare Kabel</t>
  </si>
  <si>
    <t>Anzahl eingetragener SA</t>
  </si>
  <si>
    <t>AirLancer Extender SA-5L</t>
  </si>
  <si>
    <t>Current Selection</t>
  </si>
  <si>
    <t>Kein Überspannungsschutz</t>
  </si>
  <si>
    <t>Verfügbare SA</t>
  </si>
  <si>
    <t>Blitzschutz (Surge Arrestor)</t>
  </si>
  <si>
    <t>Anzahl eingetragener WLAN Module</t>
  </si>
  <si>
    <t>Verfügbare Module</t>
  </si>
  <si>
    <t>Anzahl eingetragener WLAN Standards</t>
  </si>
  <si>
    <t>WLAN Standards</t>
  </si>
  <si>
    <t>Verfügbare Standards</t>
  </si>
  <si>
    <t>Anzahl eingetragener APs</t>
  </si>
  <si>
    <t>C</t>
  </si>
  <si>
    <t>D</t>
  </si>
  <si>
    <t>E</t>
  </si>
  <si>
    <t>F</t>
  </si>
  <si>
    <t>G</t>
  </si>
  <si>
    <t>H</t>
  </si>
  <si>
    <t>I</t>
  </si>
  <si>
    <t>J</t>
  </si>
  <si>
    <t>K</t>
  </si>
  <si>
    <t>L</t>
  </si>
  <si>
    <t>M</t>
  </si>
  <si>
    <t>N</t>
  </si>
  <si>
    <t>O</t>
  </si>
  <si>
    <t>P</t>
  </si>
  <si>
    <t>Q</t>
  </si>
  <si>
    <t>R</t>
  </si>
  <si>
    <t>S</t>
  </si>
  <si>
    <t>T</t>
  </si>
  <si>
    <t>U</t>
  </si>
  <si>
    <t>V</t>
  </si>
  <si>
    <t>W</t>
  </si>
  <si>
    <t>X</t>
  </si>
  <si>
    <t>Y</t>
  </si>
  <si>
    <t>Z</t>
  </si>
  <si>
    <t>Access Point \ WLAN Standard</t>
  </si>
  <si>
    <t>O-18a Cable 1m</t>
  </si>
  <si>
    <t>O-18a-Cable 3m</t>
  </si>
  <si>
    <t>OAP-Cable 1m</t>
  </si>
  <si>
    <t>OAP-Cable 10cm</t>
  </si>
  <si>
    <t>WLAN Standard\ Antenna</t>
  </si>
  <si>
    <t>WLAN Standard \ WLAN Module</t>
  </si>
  <si>
    <t>Kabel nutzbar als Kabel 2</t>
  </si>
  <si>
    <t>Ja/Nein</t>
  </si>
  <si>
    <t>Verfügbar als Kabel 2</t>
  </si>
  <si>
    <t>Cable</t>
  </si>
  <si>
    <t>Kabel 1</t>
  </si>
  <si>
    <t>Kabel 2</t>
  </si>
  <si>
    <t>Modul</t>
  </si>
  <si>
    <t>Atheros AR5414 (XAC/XAP/OAP)</t>
  </si>
  <si>
    <t>NICHT DIE SORTIERUNG ÄNDERN</t>
  </si>
  <si>
    <t>Ausgewählter AP -&gt; Auswähbares WLAN Modul</t>
  </si>
  <si>
    <t>AP Index</t>
  </si>
  <si>
    <t>WLAN Module Index</t>
  </si>
  <si>
    <t>Basis Resultat</t>
  </si>
  <si>
    <t>Check ProductTable</t>
  </si>
  <si>
    <t>Auswählbare WLAN Module</t>
  </si>
  <si>
    <t>WLAN Standard Index</t>
  </si>
  <si>
    <t>Index 2</t>
  </si>
  <si>
    <t>Basis Resultat (AP-&gt;STA)</t>
  </si>
  <si>
    <t>Basis Resultat (WLAN-&gt;STA)</t>
  </si>
  <si>
    <t>Ausgewählter AP -&gt; Auswähbarer WLAN Standard (AP Sicht || WLAN Modul Sicht) -&gt; Auswählbarer WLAN Standard (AP/WLAN Modul Sicht)</t>
  </si>
  <si>
    <t>AP/WLAN -&gt; STA</t>
  </si>
  <si>
    <t>Index 3</t>
  </si>
  <si>
    <t>AP/WLAN - STA</t>
  </si>
  <si>
    <t>Index 4</t>
  </si>
  <si>
    <t>Auswählbare WLAN Standards</t>
  </si>
  <si>
    <t>STA -&gt; ANT</t>
  </si>
  <si>
    <t>Auswählbare WLAN Antennen</t>
  </si>
  <si>
    <t>Spatial Streams</t>
  </si>
  <si>
    <t>STA Index</t>
  </si>
  <si>
    <t>Antennen Index</t>
  </si>
  <si>
    <t>AP -&gt; C1 || ANT -&gt; C1 // AP/ANT -&gt; C1 // C1 -&gt; ProductTable</t>
  </si>
  <si>
    <t>Basis Resultat (AP-&gt;C1)</t>
  </si>
  <si>
    <t>Basis Resultat (ANT-&gt;C1)</t>
  </si>
  <si>
    <t>AP/ANT-&gt;C1</t>
  </si>
  <si>
    <t>Auswählbare Kabel 1</t>
  </si>
  <si>
    <t>C1 Index</t>
  </si>
  <si>
    <t>Basis Resultat (AP/ANT-&gt;C1)</t>
  </si>
  <si>
    <t>SA / Cable 1</t>
  </si>
  <si>
    <t>Anzahl eingetragenerAntennen</t>
  </si>
  <si>
    <t>Anzahl eingetragener Blitzschutzadapter</t>
  </si>
  <si>
    <t>Blitzschutz Index</t>
  </si>
  <si>
    <t>Basis Resultat (ANT-&gt;C2)</t>
  </si>
  <si>
    <t>SA-&gt;C2</t>
  </si>
  <si>
    <t>SA/ANT-&gt;C2</t>
  </si>
  <si>
    <t>Basis Result (SA/ANT-&gt;C2)</t>
  </si>
  <si>
    <t>Auswählbare Kabel 2</t>
  </si>
  <si>
    <t>Cable 1 to Blitzschutz</t>
  </si>
  <si>
    <t>STA-&gt;WLAN</t>
  </si>
  <si>
    <t>Basis Resultat (STA-&gt;WLAN)</t>
  </si>
  <si>
    <t>STA-&gt;AP</t>
  </si>
  <si>
    <t>Basis Resultat (STA-&gt;AP)</t>
  </si>
  <si>
    <t>Auswählbare AP</t>
  </si>
  <si>
    <t>Basis Resultat (AP-&gt;WLAN)</t>
  </si>
  <si>
    <t>STA/AP-&gt;WLAN</t>
  </si>
  <si>
    <t>Basis Resultat (STA/AP-&gt;WLAN)</t>
  </si>
  <si>
    <t>Anzahl eingetragner AP</t>
  </si>
  <si>
    <t>O-D60a-Cable 1m</t>
  </si>
  <si>
    <t>O-D80g-Cable 1m</t>
  </si>
  <si>
    <t>O-360ag-Cable 1m</t>
  </si>
  <si>
    <t>O-18a-Cable 1m</t>
  </si>
  <si>
    <t>Anzahl Kabel</t>
  </si>
  <si>
    <t>Anzahl Antennen</t>
  </si>
  <si>
    <t>2,4 GHz</t>
  </si>
  <si>
    <t>5 GHz</t>
  </si>
  <si>
    <t>WLAN Standard</t>
  </si>
  <si>
    <t>Product Table Index</t>
  </si>
  <si>
    <t>FB Index</t>
  </si>
  <si>
    <t>Anzahl Blitzschutz</t>
  </si>
  <si>
    <t>Index "Other Cable"</t>
  </si>
  <si>
    <t>802.11a/n 400ns BFWA</t>
  </si>
  <si>
    <t>802.11a/n 400ns 1 spatial streams</t>
  </si>
  <si>
    <t>802.11g/n 400ns 1 spatial streams</t>
  </si>
  <si>
    <t>AN DIESEM ARBEITSBLATT NICHTS ÄNDERN!</t>
  </si>
  <si>
    <t>DO NOT CHANGE ANYTHING ON THIS PAGE!</t>
  </si>
  <si>
    <t>Masthöhe [m]</t>
  </si>
  <si>
    <t>Mast Height [m]</t>
  </si>
  <si>
    <t>Altura del mástil [m]</t>
  </si>
  <si>
    <t>Entered distance</t>
  </si>
  <si>
    <t>m</t>
  </si>
  <si>
    <t>Radius Fresnel 1 Zone</t>
  </si>
  <si>
    <t>GHz</t>
  </si>
  <si>
    <t>Used Frequency Band</t>
  </si>
  <si>
    <t>Minimum Mastheight</t>
  </si>
  <si>
    <t>40Mhz</t>
  </si>
  <si>
    <t>Entfernung [m]</t>
  </si>
  <si>
    <t>Distance [m]</t>
  </si>
  <si>
    <t>Distancia [m]</t>
  </si>
  <si>
    <t>40MHz / Turbo</t>
  </si>
  <si>
    <t>20MHz / Normal</t>
  </si>
  <si>
    <t>Distance [km]</t>
  </si>
  <si>
    <t>20 MHz / Normal</t>
  </si>
  <si>
    <t>40 MHz / Turbo</t>
  </si>
  <si>
    <t>Datarate</t>
  </si>
  <si>
    <t>Bereich</t>
  </si>
  <si>
    <t>Max Datarate</t>
  </si>
  <si>
    <t>Other Hardware</t>
  </si>
  <si>
    <t>Antena integrada</t>
  </si>
  <si>
    <t>Kabel wählen.</t>
  </si>
  <si>
    <t>Seleccione cable.</t>
  </si>
  <si>
    <t>Seleccione punto de acceso.</t>
  </si>
  <si>
    <t>Missing Cable 1</t>
  </si>
  <si>
    <t>Missing Cable 2</t>
  </si>
  <si>
    <t>Ningún protector de sobretensión</t>
  </si>
  <si>
    <t>c</t>
  </si>
  <si>
    <t>m/s</t>
  </si>
  <si>
    <t>f1</t>
  </si>
  <si>
    <t>f2</t>
  </si>
  <si>
    <t>EIRP [T]</t>
  </si>
  <si>
    <t>EIRP [T] used</t>
  </si>
  <si>
    <t>bad weather</t>
  </si>
  <si>
    <t>λ für 2,4 GHz</t>
  </si>
  <si>
    <t>λ für 5 GHz</t>
  </si>
  <si>
    <t>Rx Sens [R] +bad weather</t>
  </si>
  <si>
    <t>Antenna gain [A] + Cable loss</t>
  </si>
  <si>
    <t>Antenna gain [B] + Cable loss</t>
  </si>
  <si>
    <t>max distance A to B</t>
  </si>
  <si>
    <t>max distance B to A</t>
  </si>
  <si>
    <t>Reduction error</t>
  </si>
  <si>
    <t>Frequency band</t>
  </si>
  <si>
    <t>Selected</t>
  </si>
  <si>
    <t>Max Distance (Bidirectional) [km]</t>
  </si>
  <si>
    <t>Max distance [m] / 20 MHz</t>
  </si>
  <si>
    <t>Max distance [m] / 40 MHz</t>
  </si>
  <si>
    <t>LANCOM L-321agn</t>
  </si>
  <si>
    <t>LANCOM L-322agn</t>
  </si>
  <si>
    <t>Wistron DNXA-92</t>
  </si>
  <si>
    <t>AR9280</t>
  </si>
  <si>
    <t>Atheros AR9280</t>
  </si>
  <si>
    <t>802.11g/n 400ns</t>
  </si>
  <si>
    <t>802.11a/n 400ns</t>
  </si>
  <si>
    <t>Only for 315agn</t>
  </si>
  <si>
    <t>Reduction Error Normal / 20 MHz</t>
  </si>
  <si>
    <t>Reduction Error Turbo / 40 MHz</t>
  </si>
  <si>
    <t>is reduction relevant for 40MHz/Turbo</t>
  </si>
  <si>
    <t>dBm</t>
  </si>
  <si>
    <t>mW</t>
  </si>
  <si>
    <t>Tabelle zur manuellen Auswahl des max EIRP für BFWA</t>
  </si>
  <si>
    <t>Zeilenanzahl</t>
  </si>
  <si>
    <t>Selection</t>
  </si>
  <si>
    <t>custom EIRP unit</t>
  </si>
  <si>
    <t>custom EIRP value</t>
  </si>
  <si>
    <t>Spaltenanzahl</t>
  </si>
  <si>
    <t>Zeilenindex</t>
  </si>
  <si>
    <t>Tabellenindex</t>
  </si>
  <si>
    <t>custom EIRP used</t>
  </si>
  <si>
    <t>EIRP Table</t>
  </si>
  <si>
    <t>802.11g/n</t>
  </si>
  <si>
    <t>802.11a/n</t>
  </si>
  <si>
    <t>802.11a (BFWA)</t>
  </si>
  <si>
    <t>802.11a/n (BFWA)</t>
  </si>
  <si>
    <t>selected in dBm</t>
  </si>
  <si>
    <t>40MHz AP</t>
  </si>
  <si>
    <t>Turbo AP</t>
  </si>
  <si>
    <t>Show Calculations (Turbo/40MHz)</t>
  </si>
  <si>
    <t>40MHz capable (including Standard)</t>
  </si>
  <si>
    <t>Turbo capable (Including Standard)</t>
  </si>
  <si>
    <t>40MHz used?</t>
  </si>
  <si>
    <t>Turbo used?</t>
  </si>
  <si>
    <t>neither Turbo or 40MHz</t>
  </si>
  <si>
    <t>40 MHz (km/Mbps)</t>
  </si>
  <si>
    <t>Turbo (km/Mbps)</t>
  </si>
  <si>
    <t>40 MHz</t>
  </si>
  <si>
    <t>Turbo</t>
  </si>
  <si>
    <t>DO N'T MOVE</t>
  </si>
  <si>
    <t>Checkliste für Tabellen</t>
  </si>
  <si>
    <t>Accesspoints</t>
  </si>
  <si>
    <t>Eingetragen</t>
  </si>
  <si>
    <t>CT_APtoWLAN</t>
  </si>
  <si>
    <t>CT_APtoSTA</t>
  </si>
  <si>
    <t>CT_APtoC1</t>
  </si>
  <si>
    <t>TDAntenna</t>
  </si>
  <si>
    <t>CT_C1toANT</t>
  </si>
  <si>
    <t>CT_STAtoANT</t>
  </si>
  <si>
    <t>TDAntenna (Point A)</t>
  </si>
  <si>
    <t>TDAntenna (Point B)</t>
  </si>
  <si>
    <t>TDAntenna (Spatial Streams)</t>
  </si>
  <si>
    <t>ProductTable</t>
  </si>
  <si>
    <t>TDCable (Point A)</t>
  </si>
  <si>
    <t>TDCable (Point B)</t>
  </si>
  <si>
    <t>CT_SAtoC1</t>
  </si>
  <si>
    <t>TDSurgeArrestor</t>
  </si>
  <si>
    <t>CT_STAtoWLAN</t>
  </si>
  <si>
    <t>TDWLANModule</t>
  </si>
  <si>
    <t>TDCustomEIRP</t>
  </si>
  <si>
    <t>Calc</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</si>
  <si>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</si>
  <si>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</si>
  <si>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</si>
  <si>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</si>
  <si>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</si>
  <si>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</si>
  <si>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</si>
  <si>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</si>
  <si>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</si>
  <si>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</si>
  <si>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</si>
  <si>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</si>
  <si>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</si>
  <si>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</si>
  <si>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</si>
  <si>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</si>
  <si>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</si>
  <si>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</si>
  <si>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</si>
  <si>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</si>
  <si>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</si>
  <si>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</si>
  <si>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</si>
  <si>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</si>
  <si>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</si>
  <si>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</si>
  <si>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Senao EMP-7601i</t>
  </si>
  <si>
    <t>AR9160/AR9106 (OAP/IAP)</t>
  </si>
  <si>
    <t>Priorität</t>
  </si>
  <si>
    <t>AR9390</t>
  </si>
  <si>
    <t>Wistron DNXA-H1</t>
  </si>
  <si>
    <t>#spatial streams &lt; device capability</t>
  </si>
  <si>
    <t>AR9382</t>
  </si>
  <si>
    <t>Wistron DNXA-116</t>
  </si>
  <si>
    <t>LANCOM OAP-821</t>
  </si>
  <si>
    <t>LANCOM OAP-822</t>
  </si>
  <si>
    <t>LANCOM OAP-830</t>
  </si>
  <si>
    <t>802.11ac (5 GHz)</t>
  </si>
  <si>
    <t>LANCOM L-822acn</t>
  </si>
  <si>
    <t>Data Rate (80MHz)</t>
  </si>
  <si>
    <t>Tx-Power (80MHz)</t>
  </si>
  <si>
    <t>Rx-Sensitivity (80MHz)</t>
  </si>
  <si>
    <t>Data Rate (160MHz)</t>
  </si>
  <si>
    <t>Tx-Power (160MHz)</t>
  </si>
  <si>
    <t>Rx-Sensitivity (160MHz)</t>
  </si>
  <si>
    <t>DR (80MHz)</t>
  </si>
  <si>
    <t>Rx (80MHz)</t>
  </si>
  <si>
    <t>Tx (80MHz)</t>
  </si>
  <si>
    <t>802.11ac 400ns</t>
  </si>
  <si>
    <t>DR (160MHz)</t>
  </si>
  <si>
    <t>Tx (160MHz)</t>
  </si>
  <si>
    <t>Rx (160MHz)</t>
  </si>
  <si>
    <t>20MHz</t>
  </si>
  <si>
    <t>40MHz</t>
  </si>
  <si>
    <t>80MHz</t>
  </si>
  <si>
    <t>1600MHz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</si>
  <si>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</si>
  <si>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</si>
  <si>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</si>
  <si>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</si>
  <si>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</si>
  <si>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</si>
  <si>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</si>
  <si>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</si>
  <si>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</si>
  <si>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</si>
  <si>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</si>
  <si>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</si>
  <si>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</si>
  <si>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</si>
  <si>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</si>
  <si>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</si>
  <si>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</si>
  <si>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</si>
  <si>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</si>
  <si>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</si>
  <si>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</si>
  <si>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</si>
  <si>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</si>
  <si>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</si>
  <si>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</si>
  <si>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</si>
  <si>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</si>
  <si>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CC</t>
  </si>
  <si>
    <t>CD</t>
  </si>
  <si>
    <t>CE</t>
  </si>
  <si>
    <t>CF</t>
  </si>
  <si>
    <t>CG</t>
  </si>
  <si>
    <t>CH</t>
  </si>
  <si>
    <t>CI</t>
  </si>
  <si>
    <t>CJ</t>
  </si>
  <si>
    <t>CK</t>
  </si>
  <si>
    <t>CL</t>
  </si>
  <si>
    <t>CM</t>
  </si>
  <si>
    <t>CN</t>
  </si>
  <si>
    <t>CO</t>
  </si>
  <si>
    <t>CP</t>
  </si>
  <si>
    <t>CQ</t>
  </si>
  <si>
    <t>CR</t>
  </si>
  <si>
    <t>CS</t>
  </si>
  <si>
    <t>CT</t>
  </si>
  <si>
    <t>CU</t>
  </si>
  <si>
    <t>CV</t>
  </si>
  <si>
    <t>CW</t>
  </si>
  <si>
    <t>CX</t>
  </si>
  <si>
    <t>CY</t>
  </si>
  <si>
    <t>CZ</t>
  </si>
  <si>
    <t>CB</t>
  </si>
  <si>
    <t>QCA9880</t>
  </si>
  <si>
    <t>QCA9882</t>
  </si>
  <si>
    <t>DAXA-O1</t>
  </si>
  <si>
    <t>WLE600VX</t>
  </si>
  <si>
    <t>WPEA-252NI</t>
  </si>
  <si>
    <t>AR9592</t>
  </si>
  <si>
    <t>80 MHz</t>
  </si>
  <si>
    <t>B to A (80MHz)</t>
  </si>
  <si>
    <t>A to B (80MHz)</t>
  </si>
  <si>
    <t>Distance (80MHz)</t>
  </si>
  <si>
    <t>Show Calculations (80MHz)</t>
  </si>
  <si>
    <t>New ResultsTable - Version 3.0 and above</t>
  </si>
  <si>
    <t>20 Mhz</t>
  </si>
  <si>
    <t>80 Mhz</t>
  </si>
  <si>
    <t>AirLancer Cable NP-NP 20cm</t>
  </si>
  <si>
    <t>Distance (40MHz)</t>
  </si>
  <si>
    <t>Distance (20MHz)</t>
  </si>
  <si>
    <t>STA -&gt; ANT (Veraltet- Wird nicht mehr genutzt)</t>
  </si>
  <si>
    <t>AP -&gt; ANT</t>
  </si>
  <si>
    <t>Ergebnis STA-&gt;ANT</t>
  </si>
  <si>
    <t>Vergleich BA und BC</t>
  </si>
  <si>
    <t>Ergebnis STA/AP-&gt;ANT</t>
  </si>
  <si>
    <t>STA -&gt; ANT (Veraltet - Wird nicht mehr benutzt)</t>
  </si>
  <si>
    <t>UND(C39;ODER(C15;C16))</t>
  </si>
  <si>
    <t>20 MHz</t>
  </si>
  <si>
    <t>AirLancer ON-T60ag</t>
  </si>
  <si>
    <t>AirLancer ON-T90ag</t>
  </si>
  <si>
    <t>AirLancer SN-ANT</t>
  </si>
  <si>
    <t>AirLancer AN-RPSMA-NJ</t>
  </si>
  <si>
    <t>Access Point \ Antenne</t>
  </si>
  <si>
    <t>LANCOM LN-862</t>
  </si>
  <si>
    <t>LANCOM IAP-821</t>
  </si>
  <si>
    <t>LANCOM IAP-822</t>
  </si>
  <si>
    <t>QCA9880 (2x2)</t>
  </si>
  <si>
    <t>QCA9984</t>
  </si>
  <si>
    <t>QCA9888</t>
  </si>
  <si>
    <t>AR9390 (2x2)</t>
  </si>
  <si>
    <t>,</t>
  </si>
  <si>
    <t>Standard Kabel</t>
  </si>
  <si>
    <t>Default Cable for Antenna</t>
  </si>
  <si>
    <t>Default Cable Point A</t>
  </si>
  <si>
    <t>Default Cable Point B</t>
  </si>
  <si>
    <t>AP -&gt; C2</t>
  </si>
  <si>
    <t>Auswählbare Kabel</t>
  </si>
  <si>
    <t>Geräte ohne externe Anschlüsse können keine Kabel erhalten. / Wird AN-RPSMA-NJ benötigt?</t>
  </si>
  <si>
    <t>160MHz</t>
  </si>
  <si>
    <t>Other antenna</t>
  </si>
  <si>
    <t>Default antenna</t>
  </si>
  <si>
    <t>No cable</t>
  </si>
  <si>
    <t>Other cable</t>
  </si>
  <si>
    <t>No surge arrestor</t>
  </si>
  <si>
    <t>Standard module</t>
  </si>
  <si>
    <t>Integrated antenna</t>
  </si>
  <si>
    <t>Access point / client adapter:</t>
  </si>
  <si>
    <t>Wi-Fi chipset:</t>
  </si>
  <si>
    <t>Wi-Fi standard:</t>
  </si>
  <si>
    <t>Surge arrestor:</t>
  </si>
  <si>
    <t>10 dB "bad weather" reserve:</t>
  </si>
  <si>
    <t>Gross data rate [Mbps]</t>
  </si>
  <si>
    <t>Distance to data rate</t>
  </si>
  <si>
    <t>Point A antenna system gain [dBm]</t>
  </si>
  <si>
    <t>Point B antenna system gain [dBm]</t>
  </si>
  <si>
    <t>Back to the calculator.</t>
  </si>
  <si>
    <t>The presented results are based on ideal conditions giving the maximum theoretical reliable link distance. Various obstacles in the 'real world' will cause dynamic and complex interferences that are too numerous to be covered by this calculator. Therefore all results have only theoretical value and LANCOM Systems cannot guarantee the displayed maximum distances and data rates in a life environment.</t>
  </si>
  <si>
    <t>Mast height calculation</t>
  </si>
  <si>
    <t>Configuration cannot be used due to regulartory demands.</t>
  </si>
  <si>
    <t>Select Wi-Fi standard.</t>
  </si>
  <si>
    <t>Select chipset.</t>
  </si>
  <si>
    <t>Select access point.</t>
  </si>
  <si>
    <t>Integrated antenna is used.</t>
  </si>
  <si>
    <t>Select cable.</t>
  </si>
  <si>
    <t>Default cable</t>
  </si>
  <si>
    <t>40 MHz (km / Mbps)</t>
  </si>
  <si>
    <t>Turbo (km / Mbps)</t>
  </si>
  <si>
    <t>Access Point / Client-Adapter:</t>
  </si>
  <si>
    <t>Maximum of 100 Mbps netto available.</t>
  </si>
  <si>
    <t>40 MHz-Modus ist inkompatibel mit dem Atheros Turbo-Modus.</t>
  </si>
  <si>
    <t>40 MHz mode is not compatible with Atheros turbo mode.</t>
  </si>
  <si>
    <t>EW-7955MAC</t>
  </si>
  <si>
    <t>Brutto-Datenrate [MBit/s]</t>
  </si>
  <si>
    <t>To check which Wi-Fi chipset is used in your LANCOM access point just open LANmonitor and look under -&gt; System information -&gt; Interfaces -&gt; WLAN as shown in the picture below.</t>
  </si>
  <si>
    <t>Maximal 100 MBit/s netto möglich.</t>
  </si>
  <si>
    <t>40 MHz (km / MBit/s)</t>
  </si>
  <si>
    <t>Turbo (km / MBit/s)</t>
  </si>
  <si>
    <t>Earth radius</t>
  </si>
  <si>
    <t>Earth Bulge</t>
  </si>
  <si>
    <t>FSPL = 32,4 * 20*log(d[m]) + 20 * log(f[GHz])</t>
  </si>
  <si>
    <t>Offset</t>
  </si>
  <si>
    <t>nach d[m] aufgelöst</t>
  </si>
  <si>
    <t>d[m] = 10^((x-32,4)/20)/f[GHz]</t>
  </si>
  <si>
    <t>QCA9892</t>
  </si>
  <si>
    <t>WLE600VX-I</t>
  </si>
  <si>
    <t>160 MHz</t>
  </si>
  <si>
    <t>A to B (160MHz)</t>
  </si>
  <si>
    <t>B to A (160MHz)</t>
  </si>
  <si>
    <t>160 Mhz</t>
  </si>
  <si>
    <t>Show Calculations (160MHz)</t>
  </si>
  <si>
    <t>Distance (160MHz)</t>
  </si>
  <si>
    <t>EW-7922ISR</t>
  </si>
  <si>
    <t>LANCOM OAP-1702B</t>
  </si>
  <si>
    <t>AirLancer ON-T360ag</t>
  </si>
  <si>
    <t>AirLancer O-9a</t>
  </si>
  <si>
    <t>LANCOM LN-1702B</t>
  </si>
  <si>
    <t>LANCOM OAP-1700B</t>
  </si>
  <si>
    <t>AirLancer ON-360ag</t>
  </si>
  <si>
    <t>AirLancer ON-Q360ag</t>
  </si>
  <si>
    <t>AirLancer ON-Q90ag</t>
  </si>
  <si>
    <t>AirLancer ON-Q60ag</t>
  </si>
  <si>
    <t>WLE1216V2-20-I</t>
  </si>
  <si>
    <t>QCA9994 (2,4 GHz)</t>
  </si>
  <si>
    <t>WLE1216V5-20-I</t>
  </si>
  <si>
    <t>QCA9994 (5 GHz)</t>
  </si>
  <si>
    <t>AirLancer ON-D9a</t>
  </si>
  <si>
    <t>Help for 160MHz</t>
  </si>
  <si>
    <t>Edit: Divide by 2 because of our Modules</t>
  </si>
  <si>
    <t>Data Rate divided by 2 because our modules with 160 MHz just support it with halfed streams</t>
  </si>
  <si>
    <t>Min SNR Current MCS</t>
  </si>
  <si>
    <t>Optimal Noise</t>
  </si>
  <si>
    <t>Max. Entfernung [m]</t>
  </si>
  <si>
    <t>Max. distance [m]</t>
  </si>
  <si>
    <t>Distancia máxima [m]</t>
  </si>
  <si>
    <t>MCS SNR</t>
  </si>
  <si>
    <t>OAP-821 intern</t>
  </si>
  <si>
    <t>40 MHz (m/Mbps)</t>
  </si>
  <si>
    <t>80 MHz (m/Mbps)</t>
  </si>
  <si>
    <t>zusätzliche Streckendämpfung / Reserve:</t>
  </si>
  <si>
    <t>Neue Formel für Berechnung der Reichweite</t>
  </si>
  <si>
    <t>Hinzufügen der aktuellen 802.11ac Produkte</t>
  </si>
  <si>
    <t>Anpassung der Reichweite im User-Interface auf Meter</t>
  </si>
  <si>
    <t>Hinzufügen der aktuellen Antennen</t>
  </si>
  <si>
    <t>Aktualisierung der Screenshots im User Interface</t>
  </si>
  <si>
    <t>zusätzliche Streckendämpfung / Reserve hinzugefügt</t>
  </si>
  <si>
    <t>additional Fade Margin / Reserve:</t>
  </si>
  <si>
    <t>Hinzufügen des Changelog</t>
  </si>
  <si>
    <t>Änderung durch</t>
  </si>
  <si>
    <t>Datum</t>
  </si>
  <si>
    <t>Review durch</t>
  </si>
  <si>
    <t>Typo Diagramm Legende</t>
  </si>
  <si>
    <t>CSchmalwasser</t>
  </si>
  <si>
    <t>3.70</t>
  </si>
  <si>
    <t>3.71</t>
  </si>
  <si>
    <t>Änderung</t>
  </si>
  <si>
    <t>Die dargestellten Ergebnisse basieren auf idealen Rahmenbedingungen und stellen die theoretisch möglichen Verbindungsreichweiten dar. Diverse Einflüsse in der 'realen Welt' erzeugen dynamische und komplexe Störungen, die zu vielfältig sind, um sie in diesem Kalkulator zu berücksichtigen. Daher haben alle Ergebnisse nur einen theoretischen Wert, und LANCOM Systems kann weder angegebene Reichweiten noch Übertragungsraten in einem konkreten Fall garantieren.</t>
  </si>
  <si>
    <t>Anpassung User Interface-Seite: Masthöhe nach oben verschoben</t>
  </si>
  <si>
    <t>Standort</t>
  </si>
  <si>
    <t>Location</t>
  </si>
  <si>
    <t>Anpassung der Standort Bezeichnung: D: Standort, EN: Location</t>
  </si>
  <si>
    <t>Manual for Antenna-Distance-Calculator</t>
  </si>
  <si>
    <t>3.72</t>
  </si>
  <si>
    <t>Hinzufügen Hyperlinks Anleitung Antennendistanzkalkulator</t>
  </si>
  <si>
    <t>Hinzufügen ON-QT60 und ON-QT90</t>
  </si>
  <si>
    <t>Airlancer ON-QT60</t>
  </si>
  <si>
    <t>Airlancer ON-QT90</t>
  </si>
  <si>
    <t>AirLancer ON-QT60</t>
  </si>
  <si>
    <t>AirLancer ON-QT90</t>
  </si>
  <si>
    <t>3.80</t>
  </si>
  <si>
    <t>neue Bannergfrafiken eingefügt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</si>
</sst>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0.0"/>
    <numFmt numFmtId="165" formatCode="0.000"/>
    <numFmt numFmtId="166" formatCode="#,##0.000"/>
    <numFmt numFmtId="167" formatCode="0.000000000"/>
    <numFmt numFmtId="168" formatCode="0.0000"/>
    <numFmt numFmtId="169" formatCode="0.00000E+00"/>
    <numFmt numFmtId="170" formatCode="#,##0.0"/>
    <numFmt numFmtId="171" formatCode="##0.0"/>
  </numFmts>
  <fonts count="41" x14ac:knownFonts="1">
    <font>
      <sz val="10"/>
      <name val="Arial"/>
    </font>
    <font>
      <sz val="10"/>
      <name val="Arial"/>
    </font>
    <font>
      <sz val="8"/>
      <name val="Arial"/>
    </font>
    <font>
      <u/>
      <sz val="10"/>
      <color indexed="12"/>
      <name val="Arial"/>
    </font>
    <font>
      <b/>
      <sz val="10"/>
      <name val="Arial"/>
      <family val="2"/>
    </font>
    <font>
      <sz val="10"/>
      <name val="Arial"/>
      <family val="2"/>
    </font>
    <font>
      <b/>
      <sz val="20"/>
      <name val="Arial"/>
      <family val="2"/>
    </font>
    <font>
      <u/>
      <sz val="8"/>
      <color indexed="10"/>
      <name val="Arial"/>
    </font>
    <font>
      <u/>
      <sz val="8"/>
      <color indexed="10"/>
      <name val="Arial"/>
      <family val="2"/>
    </font>
    <font>
      <sz val="10"/>
      <color indexed="9"/>
      <name val="Arial"/>
    </font>
    <font>
      <b/>
      <sz val="11"/>
      <name val="Arial"/>
    </font>
    <font>
      <b/>
      <sz val="14"/>
      <name val="Arial"/>
    </font>
    <font>
      <sz val="8"/>
      <color indexed="81"/>
      <name val="Tahoma"/>
    </font>
    <font>
      <b/>
      <sz val="8"/>
      <color indexed="81"/>
      <name val="Tahoma"/>
    </font>
    <font>
      <b/>
      <sz val="8"/>
      <name val="Arial"/>
    </font>
    <font>
      <sz val="8"/>
      <color indexed="10"/>
      <name val="Arial"/>
    </font>
    <font>
      <sz val="8"/>
      <color indexed="57"/>
      <name val="Arial"/>
    </font>
    <font>
      <b/>
      <u/>
      <sz val="8"/>
      <name val="Arial"/>
      <family val="2"/>
    </font>
    <font>
      <sz val="8"/>
      <name val="Arial"/>
      <family val="2"/>
    </font>
    <font>
      <b/>
      <sz val="8"/>
      <name val="Arial"/>
      <family val="2"/>
    </font>
    <font>
      <b/>
      <sz val="14"/>
      <color indexed="10"/>
      <name val="Arial"/>
      <family val="2"/>
    </font>
    <font>
      <b/>
      <u/>
      <sz val="8"/>
      <color indexed="10"/>
      <name val="Arial"/>
      <family val="2"/>
    </font>
    <font>
      <b/>
      <sz val="9"/>
      <name val="Arial"/>
      <family val="2"/>
    </font>
    <font>
      <sz val="6"/>
      <name val="Arial"/>
      <family val="2"/>
    </font>
    <font>
      <b/>
      <sz val="10"/>
      <name val="Arial"/>
    </font>
    <font>
      <b/>
      <u/>
      <sz val="12"/>
      <name val="Arial"/>
      <family val="2"/>
    </font>
    <font>
      <b/>
      <sz val="12"/>
      <name val="Arial"/>
      <family val="2"/>
    </font>
    <font>
      <sz val="11"/>
      <name val="Arial"/>
    </font>
    <font>
      <sz val="8"/>
      <color indexed="81"/>
      <name val="Tahoma"/>
      <family val="2"/>
    </font>
    <font>
      <b/>
      <sz val="8"/>
      <color indexed="81"/>
      <name val="Tahoma"/>
      <family val="2"/>
    </font>
    <font>
      <sz val="11"/>
      <name val="Arial"/>
      <family val="2"/>
    </font>
    <font>
      <i/>
      <sz val="8"/>
      <name val="Arial"/>
      <family val="2"/>
    </font>
    <font>
      <b/>
      <sz val="11"/>
      <name val="Arial"/>
      <family val="2"/>
    </font>
    <font>
      <sz val="14"/>
      <color indexed="10"/>
      <name val="Arial"/>
      <family val="2"/>
    </font>
    <font>
      <sz val="8"/>
      <color indexed="10"/>
      <name val="Arial"/>
      <family val="2"/>
    </font>
    <font>
      <sz val="10"/>
      <color indexed="26"/>
      <name val="Arial"/>
    </font>
    <font>
      <sz val="8"/>
      <color indexed="57"/>
      <name val="Arial"/>
      <family val="2"/>
    </font>
    <font>
      <b/>
      <sz val="14"/>
      <name val="Arial"/>
      <family val="2"/>
    </font>
    <font>
      <sz val="8"/>
      <color theme="1"/>
      <name val="Arial"/>
      <family val="2"/>
    </font>
    <font>
      <b/>
      <u/>
      <sz val="10"/>
      <color rgb="FF0000FF"/>
      <name val="Arial"/>
      <family val="2"/>
    </font>
    <font>
      <u/>
      <sz val="8"/>
      <color indexed="12"/>
      <name val="Arial"/>
      <family val="2"/>
    </font>
  </fonts>
  <fills count="28">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51"/>
        <bgColor indexed="64"/>
      </patternFill>
    </fill>
    <fill>
      <patternFill patternType="solid">
        <fgColor indexed="52"/>
        <bgColor indexed="64"/>
      </patternFill>
    </fill>
    <fill>
      <patternFill patternType="solid">
        <fgColor indexed="8"/>
        <bgColor indexed="64"/>
      </patternFill>
    </fill>
    <fill>
      <patternFill patternType="solid">
        <fgColor indexed="47"/>
        <bgColor indexed="64"/>
      </patternFill>
    </fill>
    <fill>
      <patternFill patternType="solid">
        <fgColor indexed="40"/>
        <bgColor indexed="64"/>
      </patternFill>
    </fill>
    <fill>
      <patternFill patternType="solid">
        <fgColor indexed="44"/>
        <bgColor indexed="64"/>
      </patternFill>
    </fill>
    <fill>
      <patternFill patternType="solid">
        <fgColor indexed="53"/>
        <bgColor indexed="64"/>
      </patternFill>
    </fill>
    <fill>
      <patternFill patternType="solid">
        <fgColor theme="8" tint="0.59999389629810485"/>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rgb="FF2581C4"/>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59999389629810485"/>
        <bgColor indexed="64"/>
      </patternFill>
    </fill>
  </fills>
  <borders count="8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medium">
        <color indexed="64"/>
      </left>
      <right style="medium">
        <color indexed="64"/>
      </right>
      <top style="medium">
        <color indexed="64"/>
      </top>
      <bottom/>
      <diagonal/>
    </border>
    <border>
      <left/>
      <right style="double">
        <color indexed="18"/>
      </right>
      <top/>
      <bottom/>
      <diagonal/>
    </border>
    <border>
      <left style="double">
        <color indexed="18"/>
      </left>
      <right/>
      <top/>
      <bottom/>
      <diagonal/>
    </border>
    <border>
      <left style="thin">
        <color indexed="18"/>
      </left>
      <right/>
      <top style="double">
        <color indexed="18"/>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18"/>
      </right>
      <top/>
      <bottom style="double">
        <color indexed="64"/>
      </bottom>
      <diagonal/>
    </border>
    <border>
      <left/>
      <right style="double">
        <color indexed="18"/>
      </right>
      <top/>
      <bottom style="double">
        <color indexed="64"/>
      </bottom>
      <diagonal/>
    </border>
    <border>
      <left style="double">
        <color indexed="18"/>
      </left>
      <right/>
      <top/>
      <bottom style="double">
        <color indexed="64"/>
      </bottom>
      <diagonal/>
    </border>
    <border>
      <left style="thin">
        <color indexed="18"/>
      </left>
      <right/>
      <top/>
      <bottom style="thin">
        <color indexed="64"/>
      </bottom>
      <diagonal/>
    </border>
    <border>
      <left/>
      <right style="thin">
        <color indexed="18"/>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rgb="FF002060"/>
      </left>
      <right/>
      <top style="double">
        <color rgb="FF002060"/>
      </top>
      <bottom style="double">
        <color rgb="FF002060"/>
      </bottom>
      <diagonal/>
    </border>
    <border>
      <left/>
      <right/>
      <top style="double">
        <color rgb="FF002060"/>
      </top>
      <bottom style="double">
        <color rgb="FF002060"/>
      </bottom>
      <diagonal/>
    </border>
    <border>
      <left/>
      <right style="double">
        <color rgb="FF002060"/>
      </right>
      <top style="double">
        <color rgb="FF002060"/>
      </top>
      <bottom style="double">
        <color rgb="FF00206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90">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7" fillId="0" borderId="0" xfId="0" applyFont="1"/>
    <xf numFmtId="0" fontId="18" fillId="0" borderId="0" xfId="0" applyFont="1"/>
    <xf numFmtId="0" fontId="18" fillId="0" borderId="0" xfId="0" applyFont="1" applyProtection="1">
      <protection locked="0" hidden="1"/>
    </xf>
    <xf numFmtId="0" fontId="18" fillId="0" borderId="0" xfId="0" applyFont="1" applyFill="1" applyBorder="1" applyProtection="1">
      <protection locked="0" hidden="1"/>
    </xf>
    <xf numFmtId="0" fontId="18" fillId="0" borderId="0" xfId="0" applyFont="1" applyAlignment="1" applyProtection="1">
      <alignment horizontal="left"/>
      <protection locked="0" hidden="1"/>
    </xf>
    <xf numFmtId="0" fontId="18" fillId="0" borderId="0" xfId="0" applyFont="1" applyFill="1" applyBorder="1" applyAlignment="1" applyProtection="1">
      <alignment horizontal="left"/>
      <protection locked="0" hidden="1"/>
    </xf>
    <xf numFmtId="0" fontId="14" fillId="0" borderId="0" xfId="0" applyFont="1"/>
    <xf numFmtId="0" fontId="2" fillId="0" borderId="8" xfId="0" applyFont="1" applyBorder="1" applyAlignment="1">
      <alignment horizontal="center"/>
    </xf>
    <xf numFmtId="0" fontId="2" fillId="0" borderId="0" xfId="0" applyFont="1" applyBorder="1" applyAlignment="1">
      <alignment horizontal="center"/>
    </xf>
    <xf numFmtId="0" fontId="2" fillId="0" borderId="4" xfId="0" applyFont="1" applyFill="1" applyBorder="1"/>
    <xf numFmtId="0" fontId="2" fillId="0" borderId="0" xfId="0" applyFont="1" applyFill="1" applyBorder="1" applyAlignment="1">
      <alignment horizontal="center"/>
    </xf>
    <xf numFmtId="0" fontId="2" fillId="0" borderId="5" xfId="0" applyFont="1" applyFill="1" applyBorder="1"/>
    <xf numFmtId="0" fontId="2" fillId="0" borderId="0" xfId="0" applyFont="1" applyFill="1" applyBorder="1"/>
    <xf numFmtId="0" fontId="2" fillId="0" borderId="0" xfId="0" applyFont="1" applyProtection="1">
      <protection locked="0" hidden="1"/>
    </xf>
    <xf numFmtId="0" fontId="14" fillId="0" borderId="0" xfId="0" applyFont="1" applyProtection="1">
      <protection locked="0" hidden="1"/>
    </xf>
    <xf numFmtId="49" fontId="14" fillId="0" borderId="0" xfId="0" applyNumberFormat="1" applyFont="1" applyProtection="1">
      <protection locked="0" hidden="1"/>
    </xf>
    <xf numFmtId="0" fontId="2" fillId="0" borderId="3" xfId="0" applyFont="1" applyBorder="1" applyProtection="1">
      <protection locked="0" hidden="1"/>
    </xf>
    <xf numFmtId="0" fontId="2" fillId="0" borderId="10" xfId="0" applyFont="1" applyBorder="1" applyProtection="1">
      <protection locked="0" hidden="1"/>
    </xf>
    <xf numFmtId="0" fontId="2" fillId="0" borderId="4" xfId="0" applyFont="1" applyBorder="1" applyProtection="1">
      <protection locked="0" hidden="1"/>
    </xf>
    <xf numFmtId="0" fontId="2" fillId="0" borderId="0" xfId="0" applyFont="1" applyFill="1" applyBorder="1" applyProtection="1">
      <protection locked="0" hidden="1"/>
    </xf>
    <xf numFmtId="0" fontId="2" fillId="0" borderId="0" xfId="0" applyFont="1" applyBorder="1" applyProtection="1">
      <protection locked="0" hidden="1"/>
    </xf>
    <xf numFmtId="0" fontId="2" fillId="0" borderId="5" xfId="0" applyFont="1" applyBorder="1" applyProtection="1">
      <protection locked="0" hidden="1"/>
    </xf>
    <xf numFmtId="49" fontId="2" fillId="0" borderId="0" xfId="0" applyNumberFormat="1" applyFont="1" applyProtection="1">
      <protection locked="0" hidden="1"/>
    </xf>
    <xf numFmtId="0" fontId="2" fillId="0" borderId="0" xfId="0" applyFont="1" applyFill="1" applyBorder="1" applyAlignment="1" applyProtection="1">
      <alignment horizontal="right"/>
      <protection locked="0" hidden="1"/>
    </xf>
    <xf numFmtId="0" fontId="2" fillId="0" borderId="0" xfId="0" applyFont="1" applyFill="1" applyBorder="1" applyAlignment="1" applyProtection="1">
      <alignment horizontal="center"/>
      <protection locked="0" hidden="1"/>
    </xf>
    <xf numFmtId="0" fontId="2" fillId="0" borderId="3" xfId="0" applyFont="1" applyFill="1" applyBorder="1" applyProtection="1">
      <protection locked="0" hidden="1"/>
    </xf>
    <xf numFmtId="0" fontId="2" fillId="0" borderId="10" xfId="0" applyFont="1" applyFill="1" applyBorder="1" applyProtection="1">
      <protection locked="0" hidden="1"/>
    </xf>
    <xf numFmtId="0" fontId="2" fillId="0" borderId="4" xfId="0" applyFont="1" applyFill="1" applyBorder="1" applyProtection="1">
      <protection locked="0" hidden="1"/>
    </xf>
    <xf numFmtId="0" fontId="2" fillId="0" borderId="5" xfId="0" applyFont="1" applyFill="1" applyBorder="1" applyProtection="1">
      <protection locked="0" hidden="1"/>
    </xf>
    <xf numFmtId="0" fontId="2" fillId="0" borderId="6" xfId="0" applyFont="1" applyFill="1" applyBorder="1" applyProtection="1">
      <protection locked="0" hidden="1"/>
    </xf>
    <xf numFmtId="0" fontId="14" fillId="0" borderId="0" xfId="0" applyFont="1" applyFill="1" applyBorder="1" applyProtection="1">
      <protection locked="0" hidden="1"/>
    </xf>
    <xf numFmtId="0" fontId="14" fillId="0" borderId="0" xfId="0" applyFont="1" applyBorder="1"/>
    <xf numFmtId="0" fontId="19" fillId="0" borderId="0" xfId="0" applyFont="1"/>
    <xf numFmtId="0" fontId="2" fillId="2" borderId="7" xfId="0" applyFont="1" applyFill="1" applyBorder="1"/>
    <xf numFmtId="0" fontId="2" fillId="2" borderId="8" xfId="0" applyFont="1" applyFill="1" applyBorder="1"/>
    <xf numFmtId="0" fontId="2" fillId="2" borderId="0" xfId="0" applyFont="1" applyFill="1" applyBorder="1" applyProtection="1">
      <protection locked="0" hidden="1"/>
    </xf>
    <xf numFmtId="0" fontId="2" fillId="2" borderId="10" xfId="0" applyFont="1" applyFill="1" applyBorder="1" applyProtection="1">
      <protection locked="0" hidden="1"/>
    </xf>
    <xf numFmtId="0" fontId="19"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xf numFmtId="0" fontId="14" fillId="0" borderId="11" xfId="0" applyFont="1" applyBorder="1"/>
    <xf numFmtId="0" fontId="19" fillId="0" borderId="0" xfId="0" applyFont="1" applyBorder="1"/>
    <xf numFmtId="0" fontId="19" fillId="0" borderId="0" xfId="0" applyFont="1" applyBorder="1" applyAlignment="1"/>
    <xf numFmtId="0" fontId="2" fillId="0" borderId="19" xfId="0" applyFont="1" applyBorder="1"/>
    <xf numFmtId="0" fontId="2" fillId="3" borderId="3" xfId="0" applyFont="1" applyFill="1" applyBorder="1"/>
    <xf numFmtId="0" fontId="2" fillId="3" borderId="10" xfId="0" applyFont="1" applyFill="1" applyBorder="1"/>
    <xf numFmtId="0" fontId="2" fillId="3" borderId="7" xfId="0" applyFont="1" applyFill="1" applyBorder="1"/>
    <xf numFmtId="0" fontId="2" fillId="3" borderId="4" xfId="0" applyFont="1" applyFill="1" applyBorder="1"/>
    <xf numFmtId="0" fontId="2" fillId="3" borderId="0" xfId="0" applyFont="1" applyFill="1" applyBorder="1"/>
    <xf numFmtId="0" fontId="2" fillId="3" borderId="8" xfId="0" applyFont="1" applyFill="1" applyBorder="1"/>
    <xf numFmtId="0" fontId="2" fillId="3" borderId="5" xfId="0" applyFont="1" applyFill="1" applyBorder="1"/>
    <xf numFmtId="0" fontId="2" fillId="3" borderId="6" xfId="0" applyFont="1" applyFill="1" applyBorder="1"/>
    <xf numFmtId="0" fontId="2" fillId="3" borderId="9" xfId="0" applyFont="1" applyFill="1" applyBorder="1"/>
    <xf numFmtId="0" fontId="2" fillId="3" borderId="2" xfId="0" applyFont="1" applyFill="1" applyBorder="1"/>
    <xf numFmtId="0" fontId="2" fillId="3" borderId="20" xfId="0" applyFont="1" applyFill="1" applyBorder="1"/>
    <xf numFmtId="0" fontId="2" fillId="3" borderId="19" xfId="0" applyFont="1" applyFill="1" applyBorder="1"/>
    <xf numFmtId="0" fontId="18" fillId="3" borderId="2" xfId="0" applyFont="1" applyFill="1" applyBorder="1"/>
    <xf numFmtId="0" fontId="2" fillId="0" borderId="8" xfId="0" applyFont="1" applyFill="1" applyBorder="1" applyAlignment="1">
      <alignment horizontal="center"/>
    </xf>
    <xf numFmtId="0" fontId="19" fillId="0" borderId="0" xfId="0" applyFont="1" applyFill="1" applyBorder="1"/>
    <xf numFmtId="0" fontId="2" fillId="3" borderId="1" xfId="0" applyFont="1" applyFill="1" applyBorder="1"/>
    <xf numFmtId="0" fontId="16" fillId="0" borderId="0" xfId="0" applyFont="1" applyBorder="1"/>
    <xf numFmtId="0" fontId="15" fillId="0" borderId="0" xfId="0" applyFont="1"/>
    <xf numFmtId="0" fontId="2" fillId="3" borderId="21" xfId="0" applyFont="1" applyFill="1" applyBorder="1"/>
    <xf numFmtId="165" fontId="2" fillId="3" borderId="7" xfId="0" applyNumberFormat="1" applyFont="1" applyFill="1" applyBorder="1"/>
    <xf numFmtId="165" fontId="2" fillId="3" borderId="8" xfId="0" applyNumberFormat="1" applyFont="1" applyFill="1" applyBorder="1"/>
    <xf numFmtId="0" fontId="2" fillId="3" borderId="20" xfId="0" applyNumberFormat="1" applyFont="1" applyFill="1" applyBorder="1"/>
    <xf numFmtId="0" fontId="2" fillId="0" borderId="0" xfId="0" applyNumberFormat="1" applyFont="1" applyBorder="1"/>
    <xf numFmtId="168" fontId="2" fillId="0" borderId="0" xfId="0" applyNumberFormat="1" applyFont="1"/>
    <xf numFmtId="2" fontId="2" fillId="3" borderId="3" xfId="0" applyNumberFormat="1" applyFont="1" applyFill="1" applyBorder="1"/>
    <xf numFmtId="2" fontId="2" fillId="3" borderId="4" xfId="0" applyNumberFormat="1" applyFont="1" applyFill="1" applyBorder="1"/>
    <xf numFmtId="2" fontId="2" fillId="3" borderId="5" xfId="0" applyNumberFormat="1" applyFont="1" applyFill="1" applyBorder="1"/>
    <xf numFmtId="168" fontId="19" fillId="0" borderId="0" xfId="0" applyNumberFormat="1" applyFont="1"/>
    <xf numFmtId="165" fontId="2" fillId="3" borderId="9" xfId="0" applyNumberFormat="1" applyFont="1" applyFill="1" applyBorder="1"/>
    <xf numFmtId="165" fontId="2" fillId="0" borderId="0" xfId="0" applyNumberFormat="1" applyFont="1" applyFill="1" applyBorder="1"/>
    <xf numFmtId="0" fontId="0" fillId="0" borderId="0" xfId="0" applyFill="1"/>
    <xf numFmtId="0" fontId="0" fillId="0" borderId="0" xfId="0" applyFill="1" applyBorder="1"/>
    <xf numFmtId="0" fontId="19" fillId="0" borderId="6" xfId="0" applyFont="1" applyBorder="1"/>
    <xf numFmtId="0" fontId="2" fillId="0" borderId="7" xfId="0" applyFont="1" applyFill="1" applyBorder="1"/>
    <xf numFmtId="0" fontId="2" fillId="0" borderId="8" xfId="0" applyFont="1" applyFill="1" applyBorder="1"/>
    <xf numFmtId="0" fontId="2" fillId="0" borderId="10" xfId="0" applyFont="1" applyFill="1" applyBorder="1"/>
    <xf numFmtId="0" fontId="2" fillId="0" borderId="22" xfId="0" applyFont="1" applyFill="1" applyBorder="1" applyProtection="1">
      <protection locked="0" hidden="1"/>
    </xf>
    <xf numFmtId="0" fontId="18" fillId="0" borderId="22" xfId="0" applyFont="1" applyFill="1" applyBorder="1" applyProtection="1">
      <protection locked="0" hidden="1"/>
    </xf>
    <xf numFmtId="0" fontId="2" fillId="0" borderId="8" xfId="0" applyFont="1" applyBorder="1" applyProtection="1">
      <protection locked="0" hidden="1"/>
    </xf>
    <xf numFmtId="0" fontId="2" fillId="0" borderId="8" xfId="0" applyFont="1" applyFill="1" applyBorder="1" applyProtection="1">
      <protection locked="0" hidden="1"/>
    </xf>
    <xf numFmtId="0" fontId="2" fillId="0" borderId="6" xfId="0" applyFont="1" applyFill="1" applyBorder="1" applyAlignment="1" applyProtection="1">
      <alignment horizontal="right"/>
      <protection locked="0" hidden="1"/>
    </xf>
    <xf numFmtId="0" fontId="14" fillId="0" borderId="6" xfId="0" applyFont="1" applyBorder="1" applyProtection="1">
      <protection locked="0" hidden="1"/>
    </xf>
    <xf numFmtId="0" fontId="2" fillId="0" borderId="6" xfId="0" applyFont="1" applyFill="1" applyBorder="1"/>
    <xf numFmtId="0" fontId="2" fillId="0" borderId="9" xfId="0" applyFont="1" applyFill="1" applyBorder="1"/>
    <xf numFmtId="0" fontId="2" fillId="2" borderId="8" xfId="0" applyFont="1" applyFill="1" applyBorder="1" applyProtection="1">
      <protection locked="0" hidden="1"/>
    </xf>
    <xf numFmtId="0" fontId="2" fillId="0" borderId="22" xfId="0" applyFont="1" applyBorder="1"/>
    <xf numFmtId="0" fontId="14" fillId="0" borderId="14" xfId="0" applyFont="1" applyBorder="1"/>
    <xf numFmtId="0" fontId="2" fillId="2" borderId="10" xfId="0" applyFont="1" applyFill="1" applyBorder="1"/>
    <xf numFmtId="0" fontId="2" fillId="2" borderId="0" xfId="0" applyFont="1" applyFill="1" applyBorder="1"/>
    <xf numFmtId="0" fontId="2" fillId="3" borderId="0" xfId="0" applyFont="1" applyFill="1"/>
    <xf numFmtId="2" fontId="2" fillId="3" borderId="23" xfId="0" applyNumberFormat="1" applyFont="1" applyFill="1" applyBorder="1"/>
    <xf numFmtId="2" fontId="2" fillId="3" borderId="24" xfId="0" applyNumberFormat="1" applyFont="1" applyFill="1" applyBorder="1"/>
    <xf numFmtId="2" fontId="2" fillId="3" borderId="25" xfId="0" applyNumberFormat="1" applyFont="1" applyFill="1" applyBorder="1"/>
    <xf numFmtId="0" fontId="14" fillId="0" borderId="15" xfId="0" applyFont="1" applyBorder="1"/>
    <xf numFmtId="0" fontId="2" fillId="0" borderId="15" xfId="0" applyFont="1" applyBorder="1" applyProtection="1">
      <protection locked="0" hidden="1"/>
    </xf>
    <xf numFmtId="0" fontId="2" fillId="0" borderId="0" xfId="0" quotePrefix="1" applyFont="1" applyFill="1" applyBorder="1" applyAlignment="1">
      <alignment horizontal="right"/>
    </xf>
    <xf numFmtId="0" fontId="2" fillId="0" borderId="8" xfId="0" applyFont="1" applyBorder="1" applyAlignment="1">
      <alignment horizontal="right"/>
    </xf>
    <xf numFmtId="0" fontId="2" fillId="0" borderId="0" xfId="0" applyFont="1" applyBorder="1" applyAlignment="1">
      <alignment horizontal="right"/>
    </xf>
    <xf numFmtId="0" fontId="4" fillId="0" borderId="0" xfId="0" applyFont="1"/>
    <xf numFmtId="0" fontId="2" fillId="0" borderId="10" xfId="0" applyFont="1" applyFill="1" applyBorder="1" applyAlignment="1" applyProtection="1">
      <alignment horizontal="right"/>
      <protection locked="0" hidden="1"/>
    </xf>
    <xf numFmtId="0" fontId="19" fillId="0" borderId="0" xfId="0" applyFont="1" applyFill="1"/>
    <xf numFmtId="0" fontId="0" fillId="0" borderId="0" xfId="0" applyBorder="1"/>
    <xf numFmtId="0" fontId="18" fillId="0" borderId="0" xfId="0" applyFont="1" applyFill="1" applyBorder="1"/>
    <xf numFmtId="0" fontId="2" fillId="0" borderId="26" xfId="0" applyFont="1" applyBorder="1"/>
    <xf numFmtId="0" fontId="18" fillId="4" borderId="2" xfId="0" applyFont="1" applyFill="1" applyBorder="1"/>
    <xf numFmtId="0" fontId="18" fillId="3" borderId="20" xfId="0" applyFont="1" applyFill="1" applyBorder="1" applyProtection="1">
      <protection locked="0" hidden="1"/>
    </xf>
    <xf numFmtId="0" fontId="18" fillId="3" borderId="20" xfId="0" applyFont="1" applyFill="1" applyBorder="1"/>
    <xf numFmtId="0" fontId="18" fillId="3" borderId="22" xfId="0" applyFont="1" applyFill="1" applyBorder="1" applyProtection="1">
      <protection locked="0" hidden="1"/>
    </xf>
    <xf numFmtId="0" fontId="18" fillId="3" borderId="22" xfId="0" applyFont="1" applyFill="1" applyBorder="1"/>
    <xf numFmtId="0" fontId="18" fillId="3" borderId="19" xfId="0" applyFont="1" applyFill="1" applyBorder="1" applyProtection="1">
      <protection locked="0" hidden="1"/>
    </xf>
    <xf numFmtId="0" fontId="18" fillId="3" borderId="19" xfId="0" applyFont="1" applyFill="1" applyBorder="1"/>
    <xf numFmtId="0" fontId="19" fillId="4" borderId="2" xfId="0" applyFont="1" applyFill="1" applyBorder="1" applyProtection="1">
      <protection locked="0" hidden="1"/>
    </xf>
    <xf numFmtId="0" fontId="0" fillId="3" borderId="7" xfId="0" applyFill="1" applyBorder="1"/>
    <xf numFmtId="0" fontId="0" fillId="3" borderId="8" xfId="0" applyFill="1" applyBorder="1"/>
    <xf numFmtId="0" fontId="0" fillId="0" borderId="6" xfId="0" applyFill="1" applyBorder="1"/>
    <xf numFmtId="0" fontId="18" fillId="0" borderId="0" xfId="0" applyFont="1" applyFill="1"/>
    <xf numFmtId="2" fontId="2" fillId="3" borderId="2" xfId="0" applyNumberFormat="1" applyFont="1" applyFill="1" applyBorder="1"/>
    <xf numFmtId="0" fontId="18" fillId="3" borderId="4" xfId="0" applyFont="1" applyFill="1" applyBorder="1" applyProtection="1">
      <protection locked="0" hidden="1"/>
    </xf>
    <xf numFmtId="0" fontId="18" fillId="3" borderId="8" xfId="0" applyFont="1" applyFill="1" applyBorder="1" applyProtection="1">
      <protection locked="0" hidden="1"/>
    </xf>
    <xf numFmtId="0" fontId="0" fillId="5" borderId="0" xfId="0" applyNumberFormat="1" applyFill="1" applyBorder="1" applyProtection="1"/>
    <xf numFmtId="2" fontId="0" fillId="5" borderId="0" xfId="0" applyNumberFormat="1" applyFill="1" applyBorder="1" applyProtection="1"/>
    <xf numFmtId="0" fontId="19" fillId="0" borderId="20" xfId="0" applyFont="1" applyFill="1" applyBorder="1" applyProtection="1">
      <protection locked="0" hidden="1"/>
    </xf>
    <xf numFmtId="0" fontId="18" fillId="0" borderId="20" xfId="0" applyFont="1" applyBorder="1" applyAlignment="1">
      <alignment horizontal="center"/>
    </xf>
    <xf numFmtId="0" fontId="18" fillId="0" borderId="22" xfId="0" applyFont="1" applyBorder="1" applyAlignment="1">
      <alignment horizontal="center"/>
    </xf>
    <xf numFmtId="0" fontId="18" fillId="0" borderId="19" xfId="0" applyFont="1" applyBorder="1" applyAlignment="1">
      <alignment horizontal="center"/>
    </xf>
    <xf numFmtId="0" fontId="5" fillId="0" borderId="0" xfId="0" applyFont="1" applyFill="1" applyBorder="1" applyAlignment="1">
      <alignment vertical="top" wrapText="1"/>
    </xf>
    <xf numFmtId="0" fontId="0" fillId="0" borderId="17" xfId="0" applyBorder="1"/>
    <xf numFmtId="0" fontId="2" fillId="6" borderId="4" xfId="0" applyFont="1" applyFill="1" applyBorder="1"/>
    <xf numFmtId="0" fontId="2" fillId="6" borderId="0" xfId="0" applyFont="1" applyFill="1"/>
    <xf numFmtId="0" fontId="5" fillId="0" borderId="0" xfId="0" applyFont="1" applyFill="1" applyBorder="1"/>
    <xf numFmtId="0" fontId="5" fillId="0" borderId="0" xfId="0" applyFont="1" applyFill="1" applyBorder="1" applyAlignment="1">
      <alignment horizontal="left"/>
    </xf>
    <xf numFmtId="0" fontId="5" fillId="0" borderId="0" xfId="0" applyFont="1"/>
    <xf numFmtId="0" fontId="5" fillId="0" borderId="0" xfId="0" applyFont="1" applyFill="1" applyBorder="1" applyAlignment="1"/>
    <xf numFmtId="0" fontId="2" fillId="6" borderId="2" xfId="0" applyFont="1" applyFill="1" applyBorder="1"/>
    <xf numFmtId="0" fontId="2" fillId="0" borderId="0" xfId="0" applyFont="1" applyFill="1"/>
    <xf numFmtId="0" fontId="2" fillId="3" borderId="22" xfId="0" applyFont="1" applyFill="1" applyBorder="1"/>
    <xf numFmtId="0" fontId="0" fillId="5" borderId="0" xfId="0" applyFill="1" applyProtection="1">
      <protection locked="0"/>
    </xf>
    <xf numFmtId="0" fontId="0" fillId="5" borderId="0" xfId="0" applyFill="1" applyProtection="1"/>
    <xf numFmtId="0" fontId="14" fillId="0" borderId="0" xfId="0" applyFont="1" applyBorder="1" applyProtection="1">
      <protection locked="0" hidden="1"/>
    </xf>
    <xf numFmtId="0" fontId="2" fillId="0" borderId="19" xfId="0" applyFont="1" applyFill="1" applyBorder="1"/>
    <xf numFmtId="0" fontId="15" fillId="0" borderId="0" xfId="0" applyFont="1" applyBorder="1"/>
    <xf numFmtId="0" fontId="18" fillId="0" borderId="0" xfId="0" applyFont="1" applyBorder="1"/>
    <xf numFmtId="0" fontId="27" fillId="0" borderId="0" xfId="0" applyFont="1"/>
    <xf numFmtId="0" fontId="27" fillId="0" borderId="0" xfId="0" applyFont="1" applyAlignment="1">
      <alignment horizontal="left"/>
    </xf>
    <xf numFmtId="0" fontId="27" fillId="0" borderId="0" xfId="0" applyFont="1" applyAlignment="1">
      <alignment horizontal="right"/>
    </xf>
    <xf numFmtId="0" fontId="27" fillId="0" borderId="20" xfId="0" applyFont="1" applyFill="1" applyBorder="1"/>
    <xf numFmtId="0" fontId="27" fillId="0" borderId="22" xfId="0" applyFont="1" applyFill="1" applyBorder="1" applyProtection="1">
      <protection locked="0" hidden="1"/>
    </xf>
    <xf numFmtId="0" fontId="27" fillId="0" borderId="22" xfId="0" applyFont="1" applyFill="1" applyBorder="1"/>
    <xf numFmtId="0" fontId="27" fillId="0" borderId="22" xfId="0" applyFont="1" applyBorder="1"/>
    <xf numFmtId="0" fontId="27" fillId="0" borderId="19" xfId="0" applyFont="1" applyBorder="1"/>
    <xf numFmtId="0" fontId="27" fillId="0" borderId="21" xfId="0" applyFont="1" applyBorder="1"/>
    <xf numFmtId="0" fontId="27" fillId="3" borderId="1" xfId="0" applyFont="1" applyFill="1" applyBorder="1" applyAlignment="1">
      <alignment horizontal="right"/>
    </xf>
    <xf numFmtId="0" fontId="27" fillId="3" borderId="3" xfId="0" applyFont="1" applyFill="1" applyBorder="1" applyAlignment="1">
      <alignment horizontal="right"/>
    </xf>
    <xf numFmtId="0" fontId="27" fillId="3" borderId="4" xfId="0" applyFont="1" applyFill="1" applyBorder="1" applyAlignment="1">
      <alignment horizontal="right"/>
    </xf>
    <xf numFmtId="0" fontId="27" fillId="3" borderId="5" xfId="0" applyFont="1" applyFill="1" applyBorder="1" applyAlignment="1">
      <alignment horizontal="right"/>
    </xf>
    <xf numFmtId="0" fontId="27" fillId="3" borderId="20" xfId="0" applyFont="1" applyFill="1" applyBorder="1"/>
    <xf numFmtId="0" fontId="27" fillId="3" borderId="22" xfId="0" applyFont="1" applyFill="1" applyBorder="1"/>
    <xf numFmtId="0" fontId="27" fillId="3" borderId="19" xfId="0" applyFont="1" applyFill="1" applyBorder="1"/>
    <xf numFmtId="0" fontId="27" fillId="3" borderId="2" xfId="0" applyFont="1" applyFill="1" applyBorder="1" applyAlignment="1">
      <alignment horizontal="left"/>
    </xf>
    <xf numFmtId="0" fontId="27" fillId="3" borderId="2" xfId="0" applyFont="1" applyFill="1" applyBorder="1"/>
    <xf numFmtId="0" fontId="18" fillId="0" borderId="0" xfId="0" applyFont="1" applyAlignment="1">
      <alignment horizontal="right"/>
    </xf>
    <xf numFmtId="0" fontId="18" fillId="0" borderId="0" xfId="0" applyFont="1" applyAlignment="1" applyProtection="1">
      <alignment horizontal="right"/>
      <protection locked="0" hidden="1"/>
    </xf>
    <xf numFmtId="0" fontId="18" fillId="0" borderId="0" xfId="0" applyFont="1" applyFill="1" applyBorder="1" applyAlignment="1" applyProtection="1">
      <alignment horizontal="right"/>
      <protection locked="0" hidden="1"/>
    </xf>
    <xf numFmtId="0" fontId="0" fillId="3" borderId="0" xfId="0" applyFill="1"/>
    <xf numFmtId="0" fontId="27" fillId="0" borderId="19" xfId="0" applyFont="1" applyFill="1" applyBorder="1"/>
    <xf numFmtId="0" fontId="27" fillId="6" borderId="20" xfId="0" applyFont="1" applyFill="1" applyBorder="1"/>
    <xf numFmtId="0" fontId="27" fillId="3" borderId="20" xfId="0" applyFont="1" applyFill="1" applyBorder="1" applyAlignment="1">
      <alignment horizontal="right"/>
    </xf>
    <xf numFmtId="0" fontId="27" fillId="3" borderId="22" xfId="0" applyFont="1" applyFill="1" applyBorder="1" applyAlignment="1">
      <alignment horizontal="right"/>
    </xf>
    <xf numFmtId="0" fontId="27" fillId="3" borderId="19" xfId="0" applyFont="1" applyFill="1" applyBorder="1" applyAlignment="1">
      <alignment horizontal="right"/>
    </xf>
    <xf numFmtId="0" fontId="27" fillId="3" borderId="3" xfId="0" applyFont="1" applyFill="1" applyBorder="1"/>
    <xf numFmtId="0" fontId="27" fillId="3" borderId="4" xfId="0" applyFont="1" applyFill="1" applyBorder="1"/>
    <xf numFmtId="0" fontId="27" fillId="3" borderId="5" xfId="0" applyFont="1" applyFill="1" applyBorder="1"/>
    <xf numFmtId="0" fontId="27" fillId="3" borderId="1" xfId="0" applyFont="1" applyFill="1" applyBorder="1"/>
    <xf numFmtId="0" fontId="2" fillId="0" borderId="20" xfId="0" applyFont="1" applyFill="1" applyBorder="1"/>
    <xf numFmtId="0" fontId="2" fillId="0" borderId="22" xfId="0" applyFont="1" applyFill="1" applyBorder="1"/>
    <xf numFmtId="0" fontId="30" fillId="0" borderId="22" xfId="0" applyFont="1" applyBorder="1"/>
    <xf numFmtId="0" fontId="16" fillId="0" borderId="0" xfId="0" applyFont="1" applyFill="1" applyBorder="1"/>
    <xf numFmtId="0" fontId="15" fillId="0" borderId="0" xfId="0" applyFont="1" applyFill="1" applyBorder="1"/>
    <xf numFmtId="0" fontId="17" fillId="0" borderId="0" xfId="0" applyFont="1" applyFill="1"/>
    <xf numFmtId="0" fontId="2" fillId="0" borderId="26" xfId="0" applyFont="1" applyFill="1" applyBorder="1" applyProtection="1">
      <protection locked="0" hidden="1"/>
    </xf>
    <xf numFmtId="0" fontId="2" fillId="0" borderId="26" xfId="0" applyFont="1" applyFill="1" applyBorder="1"/>
    <xf numFmtId="0" fontId="19" fillId="0" borderId="22" xfId="0" applyFont="1" applyFill="1" applyBorder="1"/>
    <xf numFmtId="0" fontId="2" fillId="0" borderId="21" xfId="0" applyFont="1" applyFill="1" applyBorder="1"/>
    <xf numFmtId="0" fontId="2" fillId="6" borderId="26" xfId="0" applyFont="1" applyFill="1" applyBorder="1"/>
    <xf numFmtId="0" fontId="0" fillId="0" borderId="0" xfId="0" applyAlignment="1">
      <alignment horizontal="right"/>
    </xf>
    <xf numFmtId="0" fontId="0" fillId="7" borderId="0" xfId="0" applyFill="1"/>
    <xf numFmtId="0" fontId="0" fillId="7" borderId="0" xfId="0" applyFill="1" applyAlignment="1">
      <alignment horizontal="right"/>
    </xf>
    <xf numFmtId="0" fontId="4" fillId="7" borderId="0" xfId="0" applyFont="1" applyFill="1"/>
    <xf numFmtId="0" fontId="14" fillId="0" borderId="2" xfId="0" applyFont="1" applyFill="1" applyBorder="1" applyProtection="1">
      <protection locked="0" hidden="1"/>
    </xf>
    <xf numFmtId="0" fontId="14" fillId="0" borderId="2" xfId="0" applyFont="1" applyFill="1" applyBorder="1"/>
    <xf numFmtId="0" fontId="2" fillId="0" borderId="21" xfId="0" applyFont="1" applyFill="1" applyBorder="1" applyProtection="1">
      <protection locked="0" hidden="1"/>
    </xf>
    <xf numFmtId="0" fontId="2" fillId="0" borderId="20" xfId="0" applyFont="1" applyFill="1" applyBorder="1" applyProtection="1">
      <protection locked="0" hidden="1"/>
    </xf>
    <xf numFmtId="0" fontId="2" fillId="6" borderId="22" xfId="0" applyFont="1" applyFill="1" applyBorder="1"/>
    <xf numFmtId="0" fontId="18" fillId="0" borderId="0" xfId="0" applyFont="1" applyFill="1" applyBorder="1" applyAlignment="1">
      <alignment horizontal="center"/>
    </xf>
    <xf numFmtId="0" fontId="27" fillId="0" borderId="0" xfId="0" applyFont="1" applyBorder="1"/>
    <xf numFmtId="0" fontId="27" fillId="0" borderId="0" xfId="0" applyFont="1" applyFill="1" applyBorder="1"/>
    <xf numFmtId="0" fontId="27" fillId="0" borderId="0" xfId="0" applyFont="1" applyFill="1" applyBorder="1" applyAlignment="1">
      <alignment horizontal="right"/>
    </xf>
    <xf numFmtId="0" fontId="27" fillId="3" borderId="21" xfId="0" applyFont="1" applyFill="1" applyBorder="1"/>
    <xf numFmtId="0" fontId="27" fillId="0" borderId="6" xfId="0" applyFont="1" applyBorder="1"/>
    <xf numFmtId="0" fontId="14" fillId="0" borderId="0" xfId="0" applyFont="1" applyFill="1" applyBorder="1"/>
    <xf numFmtId="2" fontId="2" fillId="0" borderId="0" xfId="0" applyNumberFormat="1" applyFont="1" applyFill="1" applyBorder="1"/>
    <xf numFmtId="0" fontId="18" fillId="6" borderId="3" xfId="0" applyFont="1" applyFill="1" applyBorder="1"/>
    <xf numFmtId="0" fontId="18" fillId="6" borderId="4" xfId="0" applyFont="1" applyFill="1" applyBorder="1"/>
    <xf numFmtId="0" fontId="18" fillId="0" borderId="0" xfId="0" applyFont="1" applyBorder="1" applyAlignment="1">
      <alignment horizontal="center"/>
    </xf>
    <xf numFmtId="0" fontId="18" fillId="0" borderId="8" xfId="0" applyFont="1" applyBorder="1" applyAlignment="1">
      <alignment horizontal="center"/>
    </xf>
    <xf numFmtId="0" fontId="2" fillId="0" borderId="4" xfId="0" applyFont="1" applyFill="1" applyBorder="1" applyAlignment="1">
      <alignment horizontal="center"/>
    </xf>
    <xf numFmtId="2" fontId="2" fillId="0" borderId="4" xfId="0" applyNumberFormat="1" applyFont="1" applyFill="1" applyBorder="1"/>
    <xf numFmtId="0" fontId="19" fillId="0" borderId="0" xfId="0" applyFont="1" applyAlignment="1">
      <alignment horizontal="right"/>
    </xf>
    <xf numFmtId="0" fontId="31" fillId="7" borderId="0" xfId="0" applyFont="1" applyFill="1" applyAlignment="1">
      <alignment horizontal="right"/>
    </xf>
    <xf numFmtId="0" fontId="2" fillId="6" borderId="3" xfId="0" applyFont="1" applyFill="1" applyBorder="1"/>
    <xf numFmtId="0" fontId="2" fillId="0" borderId="0" xfId="0" applyFont="1" applyAlignment="1">
      <alignment horizontal="right"/>
    </xf>
    <xf numFmtId="0" fontId="2" fillId="3" borderId="22" xfId="0" applyFont="1" applyFill="1" applyBorder="1" applyProtection="1">
      <protection locked="0" hidden="1"/>
    </xf>
    <xf numFmtId="0" fontId="2" fillId="7" borderId="0" xfId="0" applyFont="1" applyFill="1" applyBorder="1" applyProtection="1">
      <protection locked="0" hidden="1"/>
    </xf>
    <xf numFmtId="0" fontId="2" fillId="7" borderId="0" xfId="0" applyFont="1" applyFill="1"/>
    <xf numFmtId="0" fontId="18" fillId="7" borderId="0" xfId="0" applyNumberFormat="1" applyFont="1" applyFill="1" applyProtection="1">
      <protection locked="0" hidden="1"/>
    </xf>
    <xf numFmtId="0" fontId="27" fillId="8" borderId="0" xfId="0" applyFont="1" applyFill="1"/>
    <xf numFmtId="0" fontId="32" fillId="8" borderId="0" xfId="0" applyFont="1" applyFill="1"/>
    <xf numFmtId="0" fontId="0" fillId="0" borderId="6" xfId="0" applyBorder="1"/>
    <xf numFmtId="0" fontId="18" fillId="3" borderId="0" xfId="0" applyFont="1" applyFill="1"/>
    <xf numFmtId="0" fontId="18" fillId="3" borderId="7" xfId="0" applyFont="1" applyFill="1" applyBorder="1"/>
    <xf numFmtId="0" fontId="0" fillId="0" borderId="26" xfId="0" applyBorder="1"/>
    <xf numFmtId="0" fontId="0" fillId="0" borderId="26" xfId="0" applyFill="1" applyBorder="1"/>
    <xf numFmtId="0" fontId="0" fillId="3" borderId="26" xfId="0" applyFill="1" applyBorder="1"/>
    <xf numFmtId="0" fontId="0" fillId="3" borderId="21" xfId="0" applyFill="1" applyBorder="1"/>
    <xf numFmtId="0" fontId="0" fillId="3" borderId="2" xfId="0" applyFill="1" applyBorder="1"/>
    <xf numFmtId="0" fontId="0" fillId="0" borderId="2" xfId="0" applyFill="1" applyBorder="1"/>
    <xf numFmtId="0" fontId="0" fillId="3" borderId="27" xfId="0" applyFill="1" applyBorder="1"/>
    <xf numFmtId="0" fontId="0" fillId="3" borderId="28" xfId="0" applyFill="1" applyBorder="1"/>
    <xf numFmtId="0" fontId="0" fillId="3" borderId="6" xfId="0" applyFill="1" applyBorder="1"/>
    <xf numFmtId="0" fontId="0" fillId="3" borderId="29" xfId="0" applyFill="1" applyBorder="1"/>
    <xf numFmtId="0" fontId="0" fillId="3" borderId="30" xfId="0" applyFill="1" applyBorder="1"/>
    <xf numFmtId="0" fontId="0" fillId="3" borderId="31" xfId="0" applyFill="1" applyBorder="1"/>
    <xf numFmtId="0" fontId="0" fillId="3" borderId="32" xfId="0" applyFill="1" applyBorder="1"/>
    <xf numFmtId="0" fontId="0" fillId="3" borderId="33" xfId="0" applyFill="1" applyBorder="1"/>
    <xf numFmtId="0" fontId="18" fillId="3" borderId="10" xfId="0" applyFont="1" applyFill="1" applyBorder="1" applyProtection="1">
      <protection locked="0" hidden="1"/>
    </xf>
    <xf numFmtId="0" fontId="18" fillId="3" borderId="0" xfId="0" applyFont="1" applyFill="1" applyBorder="1" applyProtection="1">
      <protection locked="0" hidden="1"/>
    </xf>
    <xf numFmtId="0" fontId="18" fillId="3" borderId="9" xfId="0" applyFont="1" applyFill="1" applyBorder="1" applyProtection="1">
      <protection locked="0" hidden="1"/>
    </xf>
    <xf numFmtId="0" fontId="18" fillId="3" borderId="8" xfId="0" applyFont="1" applyFill="1" applyBorder="1"/>
    <xf numFmtId="0" fontId="2" fillId="0" borderId="2" xfId="0" applyFont="1" applyFill="1" applyBorder="1"/>
    <xf numFmtId="0" fontId="2" fillId="0" borderId="2" xfId="0" applyFont="1" applyFill="1" applyBorder="1" applyProtection="1">
      <protection locked="0" hidden="1"/>
    </xf>
    <xf numFmtId="0" fontId="19" fillId="0" borderId="20" xfId="0" applyFont="1" applyBorder="1"/>
    <xf numFmtId="0" fontId="2" fillId="6" borderId="20" xfId="0" applyFont="1" applyFill="1" applyBorder="1"/>
    <xf numFmtId="0" fontId="16" fillId="0" borderId="0" xfId="0" applyFont="1"/>
    <xf numFmtId="0" fontId="18" fillId="3" borderId="9" xfId="0" applyFont="1" applyFill="1" applyBorder="1"/>
    <xf numFmtId="0" fontId="20" fillId="0" borderId="0" xfId="0" applyFont="1" applyBorder="1" applyAlignment="1">
      <alignment horizontal="center" vertical="top" wrapText="1"/>
    </xf>
    <xf numFmtId="0" fontId="0" fillId="0" borderId="10" xfId="0" applyBorder="1"/>
    <xf numFmtId="0" fontId="0" fillId="0" borderId="10" xfId="0" applyFill="1" applyBorder="1"/>
    <xf numFmtId="0" fontId="0" fillId="3" borderId="0" xfId="0" applyFill="1" applyBorder="1"/>
    <xf numFmtId="0" fontId="18" fillId="0" borderId="0" xfId="0" applyFont="1" applyAlignment="1">
      <alignment horizontal="left"/>
    </xf>
    <xf numFmtId="0" fontId="18" fillId="4" borderId="3" xfId="0" applyFont="1" applyFill="1" applyBorder="1"/>
    <xf numFmtId="0" fontId="18" fillId="4" borderId="4" xfId="0" applyFont="1" applyFill="1" applyBorder="1"/>
    <xf numFmtId="0" fontId="18" fillId="4" borderId="5" xfId="0" applyFont="1" applyFill="1" applyBorder="1"/>
    <xf numFmtId="0" fontId="18" fillId="3" borderId="3" xfId="0" applyFont="1" applyFill="1" applyBorder="1"/>
    <xf numFmtId="0" fontId="18" fillId="3" borderId="4" xfId="0" applyFont="1" applyFill="1" applyBorder="1"/>
    <xf numFmtId="0" fontId="18" fillId="3" borderId="5" xfId="0" applyFont="1" applyFill="1" applyBorder="1"/>
    <xf numFmtId="0" fontId="18" fillId="3" borderId="7" xfId="0" applyFont="1" applyFill="1" applyBorder="1" applyProtection="1">
      <protection locked="0" hidden="1"/>
    </xf>
    <xf numFmtId="0" fontId="18" fillId="4" borderId="10" xfId="0" applyFont="1" applyFill="1" applyBorder="1"/>
    <xf numFmtId="0" fontId="18" fillId="4" borderId="0" xfId="0" applyFont="1" applyFill="1" applyBorder="1"/>
    <xf numFmtId="0" fontId="18" fillId="4" borderId="6" xfId="0" applyFont="1" applyFill="1" applyBorder="1"/>
    <xf numFmtId="0" fontId="18" fillId="3" borderId="3" xfId="0" applyFont="1" applyFill="1" applyBorder="1" applyProtection="1">
      <protection locked="0" hidden="1"/>
    </xf>
    <xf numFmtId="0" fontId="18" fillId="3" borderId="26" xfId="0" applyFont="1" applyFill="1" applyBorder="1"/>
    <xf numFmtId="0" fontId="2" fillId="0" borderId="21" xfId="0" applyFont="1" applyBorder="1"/>
    <xf numFmtId="0" fontId="2" fillId="3" borderId="26" xfId="0" applyFont="1" applyFill="1" applyBorder="1"/>
    <xf numFmtId="0" fontId="2" fillId="3" borderId="1" xfId="0" applyFont="1" applyFill="1" applyBorder="1" applyAlignment="1"/>
    <xf numFmtId="0" fontId="18" fillId="0" borderId="0" xfId="0" applyFont="1" applyBorder="1" applyAlignment="1">
      <alignment horizontal="left" vertical="top" wrapText="1"/>
    </xf>
    <xf numFmtId="0" fontId="33" fillId="0" borderId="0" xfId="0" applyFont="1" applyBorder="1" applyAlignment="1">
      <alignment horizontal="left" vertical="top" wrapText="1"/>
    </xf>
    <xf numFmtId="0" fontId="34" fillId="0" borderId="0" xfId="0" applyFont="1" applyBorder="1" applyAlignment="1">
      <alignment horizontal="left" vertical="top" wrapText="1"/>
    </xf>
    <xf numFmtId="0" fontId="18" fillId="0" borderId="21" xfId="0" applyFont="1" applyBorder="1" applyAlignment="1">
      <alignment horizontal="left" vertical="top" wrapText="1"/>
    </xf>
    <xf numFmtId="0" fontId="18" fillId="3" borderId="1" xfId="0" applyFont="1" applyFill="1" applyBorder="1" applyAlignment="1">
      <alignment horizontal="left" vertical="top" wrapText="1"/>
    </xf>
    <xf numFmtId="0" fontId="18" fillId="6" borderId="34" xfId="0" applyFont="1" applyFill="1" applyBorder="1"/>
    <xf numFmtId="0" fontId="2" fillId="3" borderId="1" xfId="0" applyFont="1" applyFill="1" applyBorder="1" applyAlignment="1">
      <alignment horizontal="right"/>
    </xf>
    <xf numFmtId="0" fontId="2" fillId="3" borderId="7" xfId="0" applyFont="1" applyFill="1" applyBorder="1" applyAlignment="1">
      <alignment horizontal="right"/>
    </xf>
    <xf numFmtId="0" fontId="2" fillId="0" borderId="11" xfId="0" applyFont="1" applyFill="1" applyBorder="1" applyProtection="1">
      <protection locked="0" hidden="1"/>
    </xf>
    <xf numFmtId="0" fontId="2" fillId="2" borderId="12" xfId="0" applyFont="1" applyFill="1" applyBorder="1"/>
    <xf numFmtId="0" fontId="2" fillId="0" borderId="35" xfId="0" applyFont="1" applyBorder="1"/>
    <xf numFmtId="2" fontId="2" fillId="0" borderId="14" xfId="0" applyNumberFormat="1" applyFont="1" applyFill="1" applyBorder="1" applyProtection="1">
      <protection locked="0" hidden="1"/>
    </xf>
    <xf numFmtId="0" fontId="2" fillId="0" borderId="14" xfId="0" applyFont="1" applyFill="1" applyBorder="1" applyProtection="1">
      <protection locked="0" hidden="1"/>
    </xf>
    <xf numFmtId="0" fontId="2" fillId="0" borderId="16" xfId="0" applyFont="1" applyFill="1" applyBorder="1" applyProtection="1">
      <protection locked="0" hidden="1"/>
    </xf>
    <xf numFmtId="0" fontId="2" fillId="2" borderId="17" xfId="0" applyFont="1" applyFill="1" applyBorder="1"/>
    <xf numFmtId="0" fontId="2" fillId="0" borderId="36" xfId="0" applyFont="1" applyBorder="1"/>
    <xf numFmtId="0" fontId="2" fillId="0" borderId="12" xfId="0" applyFont="1" applyFill="1" applyBorder="1" applyProtection="1">
      <protection locked="0" hidden="1"/>
    </xf>
    <xf numFmtId="0" fontId="2" fillId="0" borderId="35" xfId="0" applyFont="1" applyBorder="1" applyProtection="1">
      <protection locked="0" hidden="1"/>
    </xf>
    <xf numFmtId="0" fontId="2" fillId="0" borderId="17" xfId="0" applyFont="1" applyFill="1" applyBorder="1" applyProtection="1">
      <protection locked="0" hidden="1"/>
    </xf>
    <xf numFmtId="0" fontId="2" fillId="0" borderId="36" xfId="0" applyFont="1" applyFill="1" applyBorder="1" applyProtection="1">
      <protection locked="0" hidden="1"/>
    </xf>
    <xf numFmtId="0" fontId="2" fillId="0" borderId="37" xfId="0" applyFont="1" applyFill="1" applyBorder="1"/>
    <xf numFmtId="0" fontId="2" fillId="0" borderId="12" xfId="0" applyFont="1" applyFill="1" applyBorder="1"/>
    <xf numFmtId="0" fontId="2" fillId="0" borderId="13" xfId="0" applyFont="1" applyFill="1" applyBorder="1"/>
    <xf numFmtId="0" fontId="2" fillId="0" borderId="15" xfId="0" applyFont="1" applyFill="1" applyBorder="1"/>
    <xf numFmtId="0" fontId="2" fillId="0" borderId="38" xfId="0" applyFont="1" applyBorder="1"/>
    <xf numFmtId="0" fontId="2" fillId="0" borderId="11" xfId="0" applyFont="1" applyBorder="1" applyProtection="1">
      <protection locked="0" hidden="1"/>
    </xf>
    <xf numFmtId="0" fontId="2" fillId="0" borderId="12" xfId="0" applyFont="1" applyBorder="1" applyProtection="1">
      <protection locked="0" hidden="1"/>
    </xf>
    <xf numFmtId="0" fontId="2" fillId="2" borderId="12" xfId="0" applyFont="1" applyFill="1" applyBorder="1" applyProtection="1">
      <protection locked="0" hidden="1"/>
    </xf>
    <xf numFmtId="0" fontId="2" fillId="0" borderId="13" xfId="0" applyFont="1" applyBorder="1" applyProtection="1">
      <protection locked="0" hidden="1"/>
    </xf>
    <xf numFmtId="2" fontId="2" fillId="0" borderId="14" xfId="0" applyNumberFormat="1" applyFont="1" applyBorder="1" applyProtection="1">
      <protection locked="0" hidden="1"/>
    </xf>
    <xf numFmtId="0" fontId="2" fillId="0" borderId="14" xfId="0" applyFont="1" applyBorder="1" applyProtection="1">
      <protection locked="0" hidden="1"/>
    </xf>
    <xf numFmtId="0" fontId="2" fillId="0" borderId="16" xfId="0" applyFont="1" applyBorder="1" applyProtection="1">
      <protection locked="0" hidden="1"/>
    </xf>
    <xf numFmtId="0" fontId="2" fillId="0" borderId="17" xfId="0" applyFont="1" applyBorder="1" applyProtection="1">
      <protection locked="0" hidden="1"/>
    </xf>
    <xf numFmtId="0" fontId="2" fillId="0" borderId="36" xfId="0" applyFont="1" applyBorder="1" applyProtection="1">
      <protection locked="0" hidden="1"/>
    </xf>
    <xf numFmtId="0" fontId="5" fillId="0" borderId="4" xfId="0" applyFont="1" applyFill="1" applyBorder="1" applyAlignment="1">
      <alignment horizontal="left" vertical="top" wrapText="1"/>
    </xf>
    <xf numFmtId="0" fontId="5" fillId="0" borderId="4" xfId="0" applyNumberFormat="1" applyFont="1" applyFill="1" applyBorder="1" applyAlignment="1">
      <alignment vertical="top" wrapText="1"/>
    </xf>
    <xf numFmtId="0" fontId="5" fillId="0" borderId="22" xfId="0" applyFont="1" applyFill="1" applyBorder="1" applyAlignment="1">
      <alignment horizontal="left" vertical="top" wrapText="1"/>
    </xf>
    <xf numFmtId="0" fontId="5" fillId="0" borderId="22" xfId="0" applyNumberFormat="1" applyFont="1" applyFill="1" applyBorder="1" applyAlignment="1">
      <alignment vertical="top" wrapText="1"/>
    </xf>
    <xf numFmtId="0" fontId="5" fillId="0" borderId="22" xfId="0" applyNumberFormat="1" applyFont="1" applyBorder="1" applyAlignment="1">
      <alignment wrapText="1"/>
    </xf>
    <xf numFmtId="0" fontId="5" fillId="0" borderId="22" xfId="0" applyFont="1" applyFill="1" applyBorder="1" applyAlignment="1">
      <alignment vertical="top" wrapText="1"/>
    </xf>
    <xf numFmtId="0" fontId="4" fillId="0" borderId="5" xfId="0" applyFont="1" applyBorder="1"/>
    <xf numFmtId="0" fontId="0" fillId="0" borderId="21" xfId="0" applyBorder="1"/>
    <xf numFmtId="0" fontId="0" fillId="0" borderId="1" xfId="0" applyBorder="1"/>
    <xf numFmtId="2" fontId="0" fillId="3" borderId="26" xfId="0" applyNumberFormat="1" applyFill="1" applyBorder="1"/>
    <xf numFmtId="0" fontId="0" fillId="0" borderId="39" xfId="0" applyBorder="1"/>
    <xf numFmtId="2" fontId="0" fillId="3" borderId="40" xfId="0" applyNumberFormat="1"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8" xfId="0" applyBorder="1"/>
    <xf numFmtId="164" fontId="2" fillId="0" borderId="0" xfId="0" applyNumberFormat="1" applyFont="1" applyFill="1" applyBorder="1"/>
    <xf numFmtId="0" fontId="2" fillId="6" borderId="0" xfId="0" applyFont="1" applyFill="1" applyBorder="1"/>
    <xf numFmtId="0" fontId="2" fillId="9" borderId="0" xfId="0" applyFont="1" applyFill="1"/>
    <xf numFmtId="0" fontId="2" fillId="9" borderId="0" xfId="0" applyFont="1" applyFill="1" applyBorder="1"/>
    <xf numFmtId="0" fontId="2" fillId="0" borderId="20" xfId="0" applyFont="1" applyBorder="1"/>
    <xf numFmtId="0" fontId="5" fillId="0" borderId="0" xfId="0" applyNumberFormat="1" applyFont="1" applyBorder="1"/>
    <xf numFmtId="165" fontId="5" fillId="3" borderId="20" xfId="0" applyNumberFormat="1" applyFont="1" applyFill="1" applyBorder="1" applyAlignment="1">
      <alignment vertical="top" wrapText="1"/>
    </xf>
    <xf numFmtId="165" fontId="5" fillId="3" borderId="22" xfId="0" applyNumberFormat="1" applyFont="1" applyFill="1" applyBorder="1" applyAlignment="1">
      <alignment vertical="top" wrapText="1"/>
    </xf>
    <xf numFmtId="165" fontId="5" fillId="3" borderId="19" xfId="0" applyNumberFormat="1" applyFont="1" applyFill="1" applyBorder="1" applyAlignment="1">
      <alignment vertical="top" wrapText="1"/>
    </xf>
    <xf numFmtId="0" fontId="5" fillId="3" borderId="20" xfId="0" applyFont="1" applyFill="1" applyBorder="1"/>
    <xf numFmtId="0" fontId="5" fillId="3" borderId="22" xfId="0" applyFont="1" applyFill="1" applyBorder="1"/>
    <xf numFmtId="0" fontId="5" fillId="3" borderId="19" xfId="0" applyFont="1" applyFill="1" applyBorder="1"/>
    <xf numFmtId="0" fontId="5" fillId="0" borderId="3" xfId="0" applyFont="1" applyBorder="1"/>
    <xf numFmtId="0" fontId="5" fillId="3" borderId="7" xfId="0" applyFont="1" applyFill="1" applyBorder="1"/>
    <xf numFmtId="0" fontId="5" fillId="0" borderId="5" xfId="0" applyFont="1" applyBorder="1"/>
    <xf numFmtId="0" fontId="5" fillId="3" borderId="9" xfId="0" applyFont="1" applyFill="1" applyBorder="1"/>
    <xf numFmtId="0" fontId="18" fillId="6" borderId="0" xfId="0" applyFont="1" applyFill="1"/>
    <xf numFmtId="2" fontId="2" fillId="3" borderId="10" xfId="0" applyNumberFormat="1" applyFont="1" applyFill="1" applyBorder="1"/>
    <xf numFmtId="2" fontId="2" fillId="3" borderId="7" xfId="0" applyNumberFormat="1" applyFont="1" applyFill="1" applyBorder="1"/>
    <xf numFmtId="2" fontId="18" fillId="3" borderId="10" xfId="0" applyNumberFormat="1" applyFont="1" applyFill="1" applyBorder="1" applyAlignment="1">
      <alignment horizontal="center"/>
    </xf>
    <xf numFmtId="2" fontId="18" fillId="3" borderId="7" xfId="0" applyNumberFormat="1" applyFont="1" applyFill="1" applyBorder="1" applyAlignment="1">
      <alignment horizontal="center"/>
    </xf>
    <xf numFmtId="2" fontId="18" fillId="3" borderId="41" xfId="0" applyNumberFormat="1" applyFont="1" applyFill="1" applyBorder="1" applyAlignment="1">
      <alignment horizontal="center"/>
    </xf>
    <xf numFmtId="2" fontId="18" fillId="3" borderId="42" xfId="0" applyNumberFormat="1" applyFont="1" applyFill="1" applyBorder="1" applyAlignment="1">
      <alignment horizontal="center"/>
    </xf>
    <xf numFmtId="0" fontId="2" fillId="0" borderId="0" xfId="0" applyFont="1" applyFill="1" applyBorder="1" applyAlignment="1"/>
    <xf numFmtId="2" fontId="2" fillId="3" borderId="0" xfId="0" applyNumberFormat="1" applyFont="1" applyFill="1" applyBorder="1"/>
    <xf numFmtId="2" fontId="2" fillId="3" borderId="19" xfId="0" applyNumberFormat="1" applyFont="1" applyFill="1" applyBorder="1"/>
    <xf numFmtId="0" fontId="14" fillId="0" borderId="8" xfId="0" applyFont="1" applyBorder="1"/>
    <xf numFmtId="165" fontId="19" fillId="0" borderId="0" xfId="0" applyNumberFormat="1" applyFont="1" applyFill="1" applyBorder="1"/>
    <xf numFmtId="2" fontId="19" fillId="0" borderId="0" xfId="0" applyNumberFormat="1" applyFont="1" applyFill="1" applyBorder="1"/>
    <xf numFmtId="4" fontId="2" fillId="3" borderId="1" xfId="0" applyNumberFormat="1" applyFont="1" applyFill="1" applyBorder="1"/>
    <xf numFmtId="166" fontId="2" fillId="3" borderId="33" xfId="0" applyNumberFormat="1" applyFont="1" applyFill="1" applyBorder="1" applyAlignment="1"/>
    <xf numFmtId="166" fontId="2" fillId="3" borderId="30" xfId="0" applyNumberFormat="1" applyFont="1" applyFill="1" applyBorder="1" applyAlignment="1"/>
    <xf numFmtId="166" fontId="2" fillId="3" borderId="43" xfId="0" applyNumberFormat="1" applyFont="1" applyFill="1" applyBorder="1" applyAlignment="1"/>
    <xf numFmtId="4" fontId="2" fillId="3" borderId="4" xfId="0" applyNumberFormat="1" applyFont="1" applyFill="1" applyBorder="1"/>
    <xf numFmtId="4" fontId="2" fillId="0" borderId="0" xfId="0" applyNumberFormat="1" applyFont="1"/>
    <xf numFmtId="4" fontId="14" fillId="0" borderId="0" xfId="0" applyNumberFormat="1" applyFont="1" applyFill="1" applyBorder="1" applyProtection="1">
      <protection locked="0" hidden="1"/>
    </xf>
    <xf numFmtId="4" fontId="2" fillId="0" borderId="0" xfId="0" applyNumberFormat="1" applyFont="1" applyBorder="1"/>
    <xf numFmtId="3" fontId="2" fillId="0" borderId="10" xfId="0" applyNumberFormat="1" applyFont="1" applyBorder="1"/>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5" fillId="3" borderId="9" xfId="0" applyFont="1" applyFill="1" applyBorder="1" applyAlignment="1">
      <alignment vertical="top" wrapText="1"/>
    </xf>
    <xf numFmtId="164" fontId="5" fillId="3" borderId="3" xfId="0" applyNumberFormat="1" applyFont="1" applyFill="1" applyBorder="1"/>
    <xf numFmtId="164" fontId="5" fillId="3" borderId="4" xfId="0" applyNumberFormat="1" applyFont="1" applyFill="1" applyBorder="1"/>
    <xf numFmtId="164" fontId="5" fillId="3" borderId="5" xfId="0" applyNumberFormat="1" applyFont="1" applyFill="1" applyBorder="1"/>
    <xf numFmtId="164" fontId="0" fillId="0" borderId="0" xfId="0" applyNumberFormat="1"/>
    <xf numFmtId="164" fontId="0" fillId="3" borderId="2" xfId="0" applyNumberFormat="1" applyFill="1" applyBorder="1"/>
    <xf numFmtId="4" fontId="2" fillId="3" borderId="26" xfId="0" applyNumberFormat="1" applyFont="1" applyFill="1" applyBorder="1"/>
    <xf numFmtId="0" fontId="0" fillId="0" borderId="0" xfId="0" applyFill="1" applyProtection="1"/>
    <xf numFmtId="0" fontId="0" fillId="0" borderId="0" xfId="0" applyProtection="1"/>
    <xf numFmtId="0" fontId="0" fillId="5" borderId="0" xfId="0" applyFill="1" applyBorder="1" applyProtection="1"/>
    <xf numFmtId="0" fontId="8" fillId="5" borderId="0" xfId="0" applyFont="1" applyFill="1" applyBorder="1" applyAlignment="1" applyProtection="1">
      <alignment horizontal="left"/>
    </xf>
    <xf numFmtId="0" fontId="7" fillId="5" borderId="0" xfId="0" applyFont="1" applyFill="1" applyBorder="1" applyProtection="1"/>
    <xf numFmtId="0" fontId="5" fillId="5" borderId="0" xfId="0" applyFont="1" applyFill="1" applyBorder="1" applyAlignment="1" applyProtection="1">
      <alignment horizontal="right"/>
    </xf>
    <xf numFmtId="0" fontId="0" fillId="0" borderId="0" xfId="0" applyFill="1" applyBorder="1" applyProtection="1"/>
    <xf numFmtId="0" fontId="0" fillId="0" borderId="0" xfId="0" applyFill="1" applyBorder="1" applyAlignment="1" applyProtection="1">
      <alignment horizontal="center"/>
    </xf>
    <xf numFmtId="0" fontId="10" fillId="5" borderId="0" xfId="0" applyFont="1" applyFill="1" applyBorder="1" applyAlignment="1" applyProtection="1">
      <alignment horizontal="right"/>
    </xf>
    <xf numFmtId="0" fontId="21" fillId="5" borderId="0" xfId="0" applyFont="1" applyFill="1" applyBorder="1" applyProtection="1"/>
    <xf numFmtId="0" fontId="21" fillId="0" borderId="0" xfId="0" applyFont="1" applyFill="1" applyBorder="1" applyProtection="1"/>
    <xf numFmtId="0" fontId="21" fillId="5" borderId="0" xfId="0" applyFont="1" applyFill="1" applyBorder="1" applyAlignment="1" applyProtection="1"/>
    <xf numFmtId="2" fontId="2" fillId="0" borderId="44" xfId="0" applyNumberFormat="1" applyFont="1" applyBorder="1" applyProtection="1"/>
    <xf numFmtId="0" fontId="0" fillId="0" borderId="0" xfId="0" applyFill="1" applyBorder="1" applyAlignment="1" applyProtection="1">
      <alignment vertical="top" wrapText="1"/>
    </xf>
    <xf numFmtId="0" fontId="2" fillId="0" borderId="17" xfId="0" applyFont="1" applyFill="1" applyBorder="1"/>
    <xf numFmtId="0" fontId="2" fillId="2" borderId="13" xfId="0" applyFont="1" applyFill="1" applyBorder="1"/>
    <xf numFmtId="0" fontId="2" fillId="2" borderId="15" xfId="0" applyFont="1" applyFill="1" applyBorder="1"/>
    <xf numFmtId="0" fontId="2" fillId="2" borderId="37" xfId="0" applyFont="1" applyFill="1" applyBorder="1"/>
    <xf numFmtId="0" fontId="2" fillId="10" borderId="12" xfId="0" applyFont="1" applyFill="1" applyBorder="1"/>
    <xf numFmtId="0" fontId="2" fillId="10" borderId="13" xfId="0" applyFont="1" applyFill="1" applyBorder="1"/>
    <xf numFmtId="0" fontId="2" fillId="10" borderId="0" xfId="0" applyFont="1" applyFill="1" applyBorder="1"/>
    <xf numFmtId="0" fontId="2" fillId="10" borderId="15" xfId="0" applyFont="1" applyFill="1" applyBorder="1"/>
    <xf numFmtId="0" fontId="2" fillId="10" borderId="0" xfId="0" applyFont="1" applyFill="1"/>
    <xf numFmtId="0" fontId="2" fillId="10" borderId="35" xfId="0" applyFont="1" applyFill="1" applyBorder="1" applyProtection="1">
      <protection locked="0" hidden="1"/>
    </xf>
    <xf numFmtId="0" fontId="2" fillId="10" borderId="4" xfId="0" applyFont="1" applyFill="1" applyBorder="1" applyProtection="1">
      <protection locked="0" hidden="1"/>
    </xf>
    <xf numFmtId="0" fontId="2" fillId="10" borderId="12" xfId="0" applyFont="1" applyFill="1" applyBorder="1" applyProtection="1">
      <protection locked="0" hidden="1"/>
    </xf>
    <xf numFmtId="0" fontId="2" fillId="10" borderId="13" xfId="0" applyFont="1" applyFill="1" applyBorder="1" applyProtection="1">
      <protection locked="0" hidden="1"/>
    </xf>
    <xf numFmtId="0" fontId="2" fillId="10" borderId="0" xfId="0" applyFont="1" applyFill="1" applyBorder="1" applyProtection="1">
      <protection locked="0" hidden="1"/>
    </xf>
    <xf numFmtId="0" fontId="2" fillId="10" borderId="15" xfId="0" applyFont="1" applyFill="1" applyBorder="1" applyProtection="1">
      <protection locked="0" hidden="1"/>
    </xf>
    <xf numFmtId="0" fontId="2" fillId="0" borderId="35" xfId="0" applyFont="1" applyFill="1" applyBorder="1" applyProtection="1">
      <protection locked="0" hidden="1"/>
    </xf>
    <xf numFmtId="0" fontId="18" fillId="0" borderId="22" xfId="0" applyFont="1" applyBorder="1"/>
    <xf numFmtId="0" fontId="18" fillId="0" borderId="19" xfId="0" applyFont="1" applyBorder="1"/>
    <xf numFmtId="0" fontId="19" fillId="0" borderId="0" xfId="0" applyFont="1" applyAlignment="1">
      <alignment horizontal="center"/>
    </xf>
    <xf numFmtId="0" fontId="18" fillId="0" borderId="22" xfId="0" applyFont="1" applyFill="1" applyBorder="1"/>
    <xf numFmtId="0" fontId="18" fillId="0" borderId="19" xfId="0" applyFont="1" applyFill="1" applyBorder="1"/>
    <xf numFmtId="0" fontId="2" fillId="0" borderId="0" xfId="0" applyFont="1" applyAlignment="1">
      <alignment horizontal="center"/>
    </xf>
    <xf numFmtId="0" fontId="14" fillId="0" borderId="3" xfId="0" applyFont="1" applyBorder="1"/>
    <xf numFmtId="0" fontId="2" fillId="0" borderId="10" xfId="0" applyFont="1" applyBorder="1" applyAlignment="1">
      <alignment horizontal="center"/>
    </xf>
    <xf numFmtId="0" fontId="2" fillId="0" borderId="7" xfId="0" applyFont="1" applyBorder="1" applyAlignment="1">
      <alignment horizontal="center"/>
    </xf>
    <xf numFmtId="0" fontId="2" fillId="3" borderId="6" xfId="0" applyFont="1" applyFill="1" applyBorder="1" applyAlignment="1">
      <alignment horizontal="center"/>
    </xf>
    <xf numFmtId="0" fontId="2" fillId="3" borderId="9" xfId="0" applyFont="1" applyFill="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10" xfId="0" applyFont="1" applyFill="1" applyBorder="1" applyAlignment="1">
      <alignment horizontal="center"/>
    </xf>
    <xf numFmtId="0" fontId="19" fillId="0" borderId="3" xfId="0" applyFont="1" applyBorder="1"/>
    <xf numFmtId="0" fontId="4" fillId="0" borderId="19" xfId="0" applyFont="1" applyBorder="1" applyAlignment="1">
      <alignment wrapText="1"/>
    </xf>
    <xf numFmtId="0" fontId="0" fillId="0" borderId="22" xfId="0" applyBorder="1" applyAlignment="1">
      <alignment wrapText="1"/>
    </xf>
    <xf numFmtId="0" fontId="5" fillId="0" borderId="22" xfId="0" applyFont="1" applyFill="1" applyBorder="1" applyAlignment="1">
      <alignment wrapText="1"/>
    </xf>
    <xf numFmtId="0" fontId="5" fillId="0" borderId="22" xfId="0" applyFont="1" applyFill="1" applyBorder="1" applyAlignment="1">
      <alignment horizontal="left" wrapText="1"/>
    </xf>
    <xf numFmtId="0" fontId="5" fillId="0" borderId="22" xfId="0" applyFont="1" applyBorder="1" applyAlignment="1">
      <alignment wrapText="1"/>
    </xf>
    <xf numFmtId="0" fontId="5" fillId="0" borderId="22" xfId="0" applyFont="1" applyFill="1" applyBorder="1" applyAlignment="1" applyProtection="1">
      <alignment wrapText="1"/>
      <protection locked="0" hidden="1"/>
    </xf>
    <xf numFmtId="0" fontId="0" fillId="0" borderId="0" xfId="0" applyBorder="1" applyAlignment="1">
      <alignment wrapText="1"/>
    </xf>
    <xf numFmtId="0" fontId="5" fillId="0" borderId="0" xfId="0" applyFont="1" applyAlignment="1">
      <alignment wrapText="1"/>
    </xf>
    <xf numFmtId="0" fontId="0" fillId="0" borderId="0" xfId="0" applyAlignment="1">
      <alignment wrapText="1"/>
    </xf>
    <xf numFmtId="0" fontId="4" fillId="0" borderId="5" xfId="0" applyFont="1" applyBorder="1" applyAlignment="1">
      <alignment wrapText="1"/>
    </xf>
    <xf numFmtId="0" fontId="0" fillId="0" borderId="4" xfId="0" applyBorder="1" applyAlignment="1">
      <alignment wrapText="1"/>
    </xf>
    <xf numFmtId="0" fontId="5" fillId="0" borderId="4" xfId="0" applyFont="1" applyFill="1" applyBorder="1" applyAlignment="1">
      <alignment wrapText="1"/>
    </xf>
    <xf numFmtId="0" fontId="5" fillId="0" borderId="4" xfId="0" applyFont="1" applyFill="1" applyBorder="1" applyAlignment="1">
      <alignment horizontal="left" wrapText="1"/>
    </xf>
    <xf numFmtId="0" fontId="5" fillId="0" borderId="4" xfId="0" applyFont="1" applyBorder="1" applyAlignment="1">
      <alignment wrapText="1"/>
    </xf>
    <xf numFmtId="0" fontId="0" fillId="3" borderId="2" xfId="0" applyFill="1" applyBorder="1" applyAlignment="1">
      <alignment vertical="top"/>
    </xf>
    <xf numFmtId="0" fontId="0" fillId="3" borderId="2" xfId="0" applyFill="1" applyBorder="1" applyAlignment="1">
      <alignment vertical="top" wrapText="1"/>
    </xf>
    <xf numFmtId="0" fontId="0" fillId="3" borderId="21" xfId="0" applyFill="1" applyBorder="1" applyAlignment="1">
      <alignment vertical="top" wrapText="1"/>
    </xf>
    <xf numFmtId="0" fontId="0" fillId="0" borderId="8" xfId="0" applyBorder="1" applyAlignment="1">
      <alignment wrapText="1"/>
    </xf>
    <xf numFmtId="0" fontId="5" fillId="0" borderId="4" xfId="0" applyFont="1" applyFill="1" applyBorder="1" applyAlignment="1" applyProtection="1">
      <alignment wrapText="1"/>
      <protection locked="0" hidden="1"/>
    </xf>
    <xf numFmtId="0" fontId="14" fillId="0" borderId="0" xfId="0" applyFont="1" applyFill="1" applyProtection="1">
      <protection locked="0" hidden="1"/>
    </xf>
    <xf numFmtId="0" fontId="14" fillId="0" borderId="0" xfId="0" applyFont="1" applyAlignment="1"/>
    <xf numFmtId="0" fontId="14" fillId="0" borderId="0" xfId="0" applyFont="1" applyFill="1" applyAlignment="1"/>
    <xf numFmtId="0" fontId="2" fillId="0" borderId="0" xfId="0" applyFont="1" applyFill="1" applyProtection="1">
      <protection locked="0" hidden="1"/>
    </xf>
    <xf numFmtId="0" fontId="2" fillId="11" borderId="14" xfId="0" applyFont="1" applyFill="1" applyBorder="1" applyProtection="1">
      <protection locked="0" hidden="1"/>
    </xf>
    <xf numFmtId="0" fontId="2" fillId="11" borderId="0" xfId="0" applyFont="1" applyFill="1" applyBorder="1"/>
    <xf numFmtId="0" fontId="2" fillId="11" borderId="4" xfId="0" applyFont="1" applyFill="1" applyBorder="1"/>
    <xf numFmtId="0" fontId="2" fillId="0" borderId="26" xfId="0" applyFont="1" applyFill="1" applyBorder="1" applyAlignment="1" applyProtection="1">
      <alignment horizontal="left"/>
      <protection locked="0" hidden="1"/>
    </xf>
    <xf numFmtId="0" fontId="18" fillId="0" borderId="26" xfId="0" applyFont="1" applyBorder="1"/>
    <xf numFmtId="0" fontId="18" fillId="7" borderId="0" xfId="0" applyFont="1" applyFill="1"/>
    <xf numFmtId="0" fontId="18" fillId="0" borderId="4" xfId="0" applyFont="1" applyBorder="1"/>
    <xf numFmtId="4" fontId="2" fillId="0" borderId="20" xfId="0" applyNumberFormat="1" applyFont="1" applyFill="1" applyBorder="1"/>
    <xf numFmtId="4" fontId="2" fillId="0" borderId="22" xfId="0" applyNumberFormat="1" applyFont="1" applyFill="1" applyBorder="1"/>
    <xf numFmtId="0" fontId="30" fillId="0" borderId="22" xfId="0" applyFont="1" applyFill="1" applyBorder="1" applyProtection="1">
      <protection locked="0" hidden="1"/>
    </xf>
    <xf numFmtId="0" fontId="30" fillId="0" borderId="22" xfId="0" applyFont="1" applyFill="1" applyBorder="1"/>
    <xf numFmtId="0" fontId="19" fillId="0" borderId="0" xfId="0" applyFont="1" applyFill="1" applyBorder="1" applyAlignment="1"/>
    <xf numFmtId="0" fontId="5" fillId="7" borderId="0" xfId="0" applyFont="1" applyFill="1" applyAlignment="1">
      <alignment horizontal="right"/>
    </xf>
    <xf numFmtId="0" fontId="38" fillId="14" borderId="0" xfId="0" applyFont="1" applyFill="1" applyAlignment="1">
      <alignment horizontal="center"/>
    </xf>
    <xf numFmtId="0" fontId="2" fillId="15" borderId="35" xfId="0" applyFont="1" applyFill="1" applyBorder="1" applyProtection="1">
      <protection locked="0" hidden="1"/>
    </xf>
    <xf numFmtId="0" fontId="2" fillId="15" borderId="12" xfId="0" applyFont="1" applyFill="1" applyBorder="1"/>
    <xf numFmtId="0" fontId="2" fillId="15" borderId="37" xfId="0" applyFont="1" applyFill="1" applyBorder="1"/>
    <xf numFmtId="0" fontId="2" fillId="15" borderId="4" xfId="0" applyFont="1" applyFill="1" applyBorder="1" applyProtection="1">
      <protection locked="0" hidden="1"/>
    </xf>
    <xf numFmtId="0" fontId="2" fillId="15" borderId="0" xfId="0" applyFont="1" applyFill="1" applyBorder="1"/>
    <xf numFmtId="0" fontId="2" fillId="15" borderId="8" xfId="0" applyFont="1" applyFill="1" applyBorder="1"/>
    <xf numFmtId="0" fontId="2" fillId="15" borderId="36" xfId="0" applyFont="1" applyFill="1" applyBorder="1" applyProtection="1">
      <protection locked="0" hidden="1"/>
    </xf>
    <xf numFmtId="0" fontId="2" fillId="15" borderId="17" xfId="0" applyFont="1" applyFill="1" applyBorder="1"/>
    <xf numFmtId="0" fontId="2" fillId="15" borderId="38" xfId="0" applyFont="1" applyFill="1" applyBorder="1"/>
    <xf numFmtId="0" fontId="0" fillId="0" borderId="0" xfId="0" applyFill="1" applyBorder="1" applyAlignment="1">
      <alignment horizontal="right"/>
    </xf>
    <xf numFmtId="0" fontId="2" fillId="0" borderId="38" xfId="0" applyFont="1" applyFill="1" applyBorder="1"/>
    <xf numFmtId="0" fontId="2" fillId="0" borderId="18" xfId="0" applyFont="1" applyFill="1" applyBorder="1"/>
    <xf numFmtId="0" fontId="2" fillId="16" borderId="12" xfId="0" applyFont="1" applyFill="1" applyBorder="1"/>
    <xf numFmtId="0" fontId="2" fillId="16" borderId="37" xfId="0" applyFont="1" applyFill="1" applyBorder="1"/>
    <xf numFmtId="0" fontId="2" fillId="16" borderId="0" xfId="0" applyFont="1" applyFill="1" applyBorder="1"/>
    <xf numFmtId="0" fontId="2" fillId="16" borderId="8" xfId="0" applyFont="1" applyFill="1" applyBorder="1"/>
    <xf numFmtId="0" fontId="2" fillId="0" borderId="3" xfId="0" applyFont="1" applyFill="1" applyBorder="1"/>
    <xf numFmtId="0" fontId="2" fillId="16" borderId="12" xfId="0" applyFont="1" applyFill="1" applyBorder="1" applyProtection="1">
      <protection locked="0" hidden="1"/>
    </xf>
    <xf numFmtId="0" fontId="2" fillId="16" borderId="0" xfId="0" applyFont="1" applyFill="1" applyBorder="1" applyProtection="1">
      <protection locked="0" hidden="1"/>
    </xf>
    <xf numFmtId="0" fontId="2" fillId="16" borderId="17" xfId="0" applyFont="1" applyFill="1" applyBorder="1"/>
    <xf numFmtId="166" fontId="2" fillId="3" borderId="10" xfId="0" applyNumberFormat="1" applyFont="1" applyFill="1" applyBorder="1" applyAlignment="1"/>
    <xf numFmtId="166" fontId="2" fillId="3" borderId="0" xfId="0" applyNumberFormat="1" applyFont="1" applyFill="1" applyBorder="1" applyAlignment="1"/>
    <xf numFmtId="166" fontId="2" fillId="3" borderId="6" xfId="0" applyNumberFormat="1" applyFont="1" applyFill="1" applyBorder="1" applyAlignment="1"/>
    <xf numFmtId="2" fontId="2" fillId="3" borderId="20" xfId="0" applyNumberFormat="1" applyFont="1" applyFill="1" applyBorder="1"/>
    <xf numFmtId="2" fontId="2" fillId="3" borderId="22" xfId="0" applyNumberFormat="1" applyFont="1" applyFill="1" applyBorder="1"/>
    <xf numFmtId="0" fontId="14" fillId="0" borderId="12" xfId="0" applyFont="1" applyFill="1" applyBorder="1"/>
    <xf numFmtId="0" fontId="14" fillId="0" borderId="12" xfId="0" applyFont="1" applyFill="1" applyBorder="1" applyProtection="1">
      <protection locked="0" hidden="1"/>
    </xf>
    <xf numFmtId="4" fontId="14" fillId="0" borderId="12" xfId="0" applyNumberFormat="1" applyFont="1" applyFill="1" applyBorder="1" applyProtection="1">
      <protection locked="0" hidden="1"/>
    </xf>
    <xf numFmtId="0" fontId="14" fillId="0" borderId="13" xfId="0" applyFont="1" applyFill="1" applyBorder="1" applyProtection="1">
      <protection locked="0" hidden="1"/>
    </xf>
    <xf numFmtId="0" fontId="2" fillId="3" borderId="45" xfId="0" applyFont="1" applyFill="1" applyBorder="1"/>
    <xf numFmtId="0" fontId="14" fillId="0" borderId="15" xfId="0" applyFont="1" applyFill="1" applyBorder="1" applyProtection="1">
      <protection locked="0" hidden="1"/>
    </xf>
    <xf numFmtId="0" fontId="2" fillId="3" borderId="17" xfId="0" applyFont="1" applyFill="1" applyBorder="1"/>
    <xf numFmtId="0" fontId="2" fillId="3" borderId="46" xfId="0" applyFont="1" applyFill="1" applyBorder="1"/>
    <xf numFmtId="2" fontId="2" fillId="3" borderId="17" xfId="0" applyNumberFormat="1" applyFont="1" applyFill="1" applyBorder="1"/>
    <xf numFmtId="2" fontId="2" fillId="3" borderId="36" xfId="0" applyNumberFormat="1" applyFont="1" applyFill="1" applyBorder="1"/>
    <xf numFmtId="4" fontId="2" fillId="3" borderId="36" xfId="0" applyNumberFormat="1" applyFont="1" applyFill="1" applyBorder="1"/>
    <xf numFmtId="0" fontId="2" fillId="3" borderId="47" xfId="0" applyFont="1" applyFill="1" applyBorder="1"/>
    <xf numFmtId="0" fontId="19" fillId="0" borderId="14" xfId="0" applyFont="1" applyBorder="1"/>
    <xf numFmtId="0" fontId="0" fillId="17" borderId="4" xfId="0" applyFill="1" applyBorder="1" applyProtection="1"/>
    <xf numFmtId="165" fontId="0" fillId="17" borderId="0" xfId="0" applyNumberFormat="1" applyFill="1" applyBorder="1" applyProtection="1"/>
    <xf numFmtId="0" fontId="0" fillId="17" borderId="3" xfId="0" applyFill="1" applyBorder="1" applyProtection="1"/>
    <xf numFmtId="0" fontId="0" fillId="17" borderId="10" xfId="0" applyFill="1" applyBorder="1" applyProtection="1"/>
    <xf numFmtId="0" fontId="0" fillId="17" borderId="0" xfId="0" applyFill="1" applyBorder="1" applyProtection="1"/>
    <xf numFmtId="0" fontId="0" fillId="17" borderId="5" xfId="0" applyFill="1" applyBorder="1" applyProtection="1"/>
    <xf numFmtId="165" fontId="0" fillId="17" borderId="9" xfId="0" applyNumberFormat="1" applyFill="1" applyBorder="1" applyProtection="1"/>
    <xf numFmtId="165" fontId="0" fillId="17" borderId="9" xfId="0" applyNumberFormat="1" applyFill="1" applyBorder="1" applyAlignment="1" applyProtection="1"/>
    <xf numFmtId="0" fontId="0" fillId="17" borderId="6" xfId="0" applyFill="1" applyBorder="1" applyProtection="1"/>
    <xf numFmtId="0" fontId="18" fillId="18" borderId="0" xfId="0" applyFont="1" applyFill="1"/>
    <xf numFmtId="0" fontId="2" fillId="18" borderId="0" xfId="0" applyFont="1" applyFill="1"/>
    <xf numFmtId="0" fontId="18" fillId="0" borderId="26" xfId="0" applyFont="1" applyFill="1" applyBorder="1"/>
    <xf numFmtId="0" fontId="27" fillId="19" borderId="22" xfId="0" applyFont="1" applyFill="1" applyBorder="1"/>
    <xf numFmtId="0" fontId="27" fillId="3" borderId="8" xfId="0" applyFont="1" applyFill="1" applyBorder="1" applyAlignment="1">
      <alignment horizontal="right"/>
    </xf>
    <xf numFmtId="0" fontId="18" fillId="0" borderId="2" xfId="0" applyFont="1" applyBorder="1"/>
    <xf numFmtId="0" fontId="24" fillId="0" borderId="0" xfId="0" applyFont="1" applyFill="1" applyBorder="1" applyAlignment="1" applyProtection="1">
      <alignment vertical="center" textRotation="90"/>
    </xf>
    <xf numFmtId="165" fontId="19" fillId="0" borderId="0" xfId="0" applyNumberFormat="1" applyFont="1"/>
    <xf numFmtId="165" fontId="2" fillId="0" borderId="0" xfId="0" applyNumberFormat="1" applyFont="1"/>
    <xf numFmtId="165" fontId="2" fillId="17" borderId="0" xfId="0" applyNumberFormat="1" applyFont="1" applyFill="1"/>
    <xf numFmtId="165" fontId="0" fillId="17" borderId="8" xfId="0" applyNumberFormat="1" applyFill="1" applyBorder="1" applyProtection="1"/>
    <xf numFmtId="0" fontId="2" fillId="17" borderId="20" xfId="0" applyFont="1" applyFill="1" applyBorder="1"/>
    <xf numFmtId="0" fontId="18" fillId="17" borderId="19" xfId="0" applyFont="1" applyFill="1" applyBorder="1"/>
    <xf numFmtId="0" fontId="18" fillId="0" borderId="3" xfId="0" applyFont="1" applyBorder="1"/>
    <xf numFmtId="0" fontId="18" fillId="0" borderId="5" xfId="0" applyFont="1" applyBorder="1"/>
    <xf numFmtId="0" fontId="19" fillId="0" borderId="2" xfId="0" applyFont="1" applyFill="1" applyBorder="1" applyProtection="1">
      <protection locked="0" hidden="1"/>
    </xf>
    <xf numFmtId="0" fontId="18" fillId="6" borderId="26" xfId="0" applyFont="1" applyFill="1" applyBorder="1"/>
    <xf numFmtId="0" fontId="36" fillId="0" borderId="0" xfId="0" applyFont="1" applyBorder="1"/>
    <xf numFmtId="0" fontId="34" fillId="0" borderId="0" xfId="0" applyFont="1" applyFill="1" applyBorder="1"/>
    <xf numFmtId="0" fontId="18" fillId="17" borderId="0" xfId="0" applyFont="1" applyFill="1"/>
    <xf numFmtId="0" fontId="18" fillId="17" borderId="7" xfId="0" applyFont="1" applyFill="1" applyBorder="1"/>
    <xf numFmtId="0" fontId="18" fillId="17" borderId="9" xfId="0" applyFont="1" applyFill="1" applyBorder="1"/>
    <xf numFmtId="0" fontId="5" fillId="21" borderId="0" xfId="0" applyFont="1" applyFill="1"/>
    <xf numFmtId="0" fontId="0" fillId="21" borderId="0" xfId="0" applyFill="1"/>
    <xf numFmtId="0" fontId="0" fillId="17" borderId="26" xfId="0" applyFill="1" applyBorder="1"/>
    <xf numFmtId="0" fontId="0" fillId="17" borderId="7" xfId="0" applyFill="1" applyBorder="1"/>
    <xf numFmtId="0" fontId="0" fillId="17" borderId="8" xfId="0" applyFill="1" applyBorder="1"/>
    <xf numFmtId="0" fontId="0" fillId="17" borderId="0" xfId="0" applyFill="1"/>
    <xf numFmtId="0" fontId="5" fillId="0" borderId="26" xfId="0" applyFont="1" applyFill="1" applyBorder="1"/>
    <xf numFmtId="0" fontId="5" fillId="0" borderId="26" xfId="0" applyFont="1" applyBorder="1"/>
    <xf numFmtId="0" fontId="18" fillId="3" borderId="5" xfId="0" applyFont="1" applyFill="1" applyBorder="1" applyProtection="1">
      <protection locked="0" hidden="1"/>
    </xf>
    <xf numFmtId="0" fontId="18" fillId="17" borderId="0" xfId="0" applyFont="1" applyFill="1" applyBorder="1"/>
    <xf numFmtId="0" fontId="2" fillId="16" borderId="22" xfId="0" applyFont="1" applyFill="1" applyBorder="1"/>
    <xf numFmtId="0" fontId="2" fillId="19" borderId="26" xfId="0" applyFont="1" applyFill="1" applyBorder="1"/>
    <xf numFmtId="0" fontId="30" fillId="0" borderId="0" xfId="0" applyFont="1"/>
    <xf numFmtId="0" fontId="2" fillId="19" borderId="22" xfId="0" applyFont="1" applyFill="1" applyBorder="1"/>
    <xf numFmtId="0" fontId="2" fillId="19" borderId="2" xfId="0" applyFont="1" applyFill="1" applyBorder="1"/>
    <xf numFmtId="0" fontId="2" fillId="19" borderId="4" xfId="0" applyFont="1" applyFill="1" applyBorder="1"/>
    <xf numFmtId="0" fontId="0" fillId="21" borderId="0" xfId="0" applyFill="1" applyBorder="1"/>
    <xf numFmtId="0" fontId="0" fillId="22" borderId="48" xfId="0" applyFill="1" applyBorder="1" applyProtection="1"/>
    <xf numFmtId="0" fontId="0" fillId="22" borderId="0" xfId="0" applyFill="1" applyBorder="1" applyProtection="1"/>
    <xf numFmtId="0" fontId="0" fillId="22" borderId="49" xfId="0" applyFill="1" applyBorder="1" applyProtection="1"/>
    <xf numFmtId="0" fontId="0" fillId="22" borderId="50" xfId="0" applyFill="1" applyBorder="1" applyProtection="1"/>
    <xf numFmtId="0" fontId="0" fillId="22" borderId="51" xfId="0" applyFill="1" applyBorder="1" applyProtection="1"/>
    <xf numFmtId="0" fontId="10" fillId="22" borderId="51" xfId="0" applyFont="1" applyFill="1" applyBorder="1" applyAlignment="1" applyProtection="1">
      <alignment horizontal="right"/>
    </xf>
    <xf numFmtId="0" fontId="0" fillId="22" borderId="52" xfId="0" applyFill="1" applyBorder="1" applyProtection="1"/>
    <xf numFmtId="0" fontId="21" fillId="22" borderId="53" xfId="0" applyFont="1" applyFill="1" applyBorder="1" applyProtection="1"/>
    <xf numFmtId="0" fontId="21" fillId="22" borderId="54" xfId="0" applyFont="1" applyFill="1" applyBorder="1" applyProtection="1"/>
    <xf numFmtId="0" fontId="8" fillId="22" borderId="54" xfId="0" applyFont="1" applyFill="1" applyBorder="1" applyProtection="1"/>
    <xf numFmtId="0" fontId="21" fillId="22" borderId="55" xfId="0" applyFont="1" applyFill="1" applyBorder="1" applyProtection="1"/>
    <xf numFmtId="0" fontId="0" fillId="22" borderId="0" xfId="0" applyFill="1" applyBorder="1" applyAlignment="1" applyProtection="1">
      <alignment vertical="top" wrapText="1"/>
    </xf>
    <xf numFmtId="0" fontId="21" fillId="22" borderId="0" xfId="0" applyFont="1" applyFill="1" applyBorder="1" applyProtection="1"/>
    <xf numFmtId="0" fontId="21" fillId="22" borderId="49" xfId="0" applyFont="1" applyFill="1" applyBorder="1" applyProtection="1"/>
    <xf numFmtId="0" fontId="24" fillId="22" borderId="0" xfId="0" applyFont="1" applyFill="1" applyBorder="1" applyAlignment="1" applyProtection="1">
      <alignment horizontal="left"/>
    </xf>
    <xf numFmtId="0" fontId="0" fillId="22" borderId="0" xfId="0" applyFill="1" applyProtection="1"/>
    <xf numFmtId="0" fontId="0" fillId="22" borderId="0" xfId="0" applyFill="1" applyBorder="1" applyProtection="1">
      <protection locked="0"/>
    </xf>
    <xf numFmtId="0" fontId="0" fillId="22" borderId="56" xfId="0" applyFill="1" applyBorder="1" applyProtection="1"/>
    <xf numFmtId="0" fontId="0" fillId="22" borderId="57" xfId="0" applyFill="1" applyBorder="1" applyProtection="1"/>
    <xf numFmtId="0" fontId="21" fillId="22" borderId="48" xfId="0" applyFont="1" applyFill="1" applyBorder="1" applyProtection="1"/>
    <xf numFmtId="0" fontId="0" fillId="22" borderId="58" xfId="0" applyFill="1" applyBorder="1" applyProtection="1"/>
    <xf numFmtId="0" fontId="22" fillId="23" borderId="59" xfId="0" applyFont="1" applyFill="1" applyBorder="1" applyAlignment="1" applyProtection="1">
      <alignment horizontal="center" vertical="top" wrapText="1"/>
    </xf>
    <xf numFmtId="0" fontId="22" fillId="23" borderId="13" xfId="0" applyFont="1" applyFill="1" applyBorder="1" applyAlignment="1" applyProtection="1">
      <alignment horizontal="center" vertical="top" wrapText="1"/>
    </xf>
    <xf numFmtId="0" fontId="4" fillId="22" borderId="53" xfId="0" applyFont="1" applyFill="1" applyBorder="1" applyAlignment="1" applyProtection="1"/>
    <xf numFmtId="0" fontId="5" fillId="22" borderId="55" xfId="0" applyFont="1" applyFill="1" applyBorder="1" applyAlignment="1" applyProtection="1"/>
    <xf numFmtId="0" fontId="0" fillId="22" borderId="60" xfId="0" applyFill="1" applyBorder="1" applyProtection="1"/>
    <xf numFmtId="0" fontId="0" fillId="22" borderId="61" xfId="0" applyFill="1" applyBorder="1" applyProtection="1"/>
    <xf numFmtId="0" fontId="4" fillId="22" borderId="0" xfId="0" applyFont="1" applyFill="1" applyBorder="1" applyProtection="1"/>
    <xf numFmtId="0" fontId="8" fillId="22" borderId="0" xfId="0" applyFont="1" applyFill="1" applyBorder="1" applyProtection="1"/>
    <xf numFmtId="0" fontId="3" fillId="22" borderId="0" xfId="2" applyFill="1" applyBorder="1" applyAlignment="1" applyProtection="1">
      <alignment horizontal="center"/>
    </xf>
    <xf numFmtId="0" fontId="5" fillId="22" borderId="0" xfId="0" applyFont="1" applyFill="1" applyBorder="1" applyProtection="1"/>
    <xf numFmtId="0" fontId="15" fillId="22" borderId="0" xfId="0" applyFont="1" applyFill="1" applyBorder="1" applyProtection="1"/>
    <xf numFmtId="0" fontId="5" fillId="22" borderId="0" xfId="0" applyFont="1" applyFill="1" applyBorder="1" applyAlignment="1" applyProtection="1">
      <alignment horizontal="right"/>
    </xf>
    <xf numFmtId="2" fontId="35" fillId="22" borderId="0" xfId="0" applyNumberFormat="1" applyFont="1" applyFill="1" applyBorder="1" applyProtection="1">
      <protection locked="0"/>
    </xf>
    <xf numFmtId="0" fontId="9" fillId="22" borderId="0" xfId="0" applyFont="1" applyFill="1" applyBorder="1" applyProtection="1"/>
    <xf numFmtId="0" fontId="8" fillId="22" borderId="0" xfId="0" applyFont="1" applyFill="1" applyBorder="1" applyAlignment="1" applyProtection="1">
      <alignment horizontal="left"/>
    </xf>
    <xf numFmtId="0" fontId="11" fillId="22" borderId="61" xfId="0" applyFont="1" applyFill="1" applyBorder="1" applyProtection="1"/>
    <xf numFmtId="0" fontId="0" fillId="22" borderId="62" xfId="0" applyFill="1" applyBorder="1" applyProtection="1"/>
    <xf numFmtId="2" fontId="0" fillId="22" borderId="0" xfId="0" applyNumberFormat="1" applyFill="1" applyBorder="1" applyProtection="1"/>
    <xf numFmtId="0" fontId="0" fillId="22" borderId="4" xfId="0" applyFill="1" applyBorder="1" applyProtection="1"/>
    <xf numFmtId="0" fontId="0" fillId="22" borderId="8" xfId="0" applyFill="1" applyBorder="1" applyProtection="1"/>
    <xf numFmtId="0" fontId="5" fillId="22" borderId="0" xfId="0" applyFont="1" applyFill="1" applyBorder="1" applyAlignment="1" applyProtection="1">
      <alignment horizontal="left"/>
    </xf>
    <xf numFmtId="0" fontId="0" fillId="22" borderId="3" xfId="0" applyFill="1" applyBorder="1" applyProtection="1"/>
    <xf numFmtId="0" fontId="0" fillId="22" borderId="10" xfId="0" applyFill="1" applyBorder="1" applyProtection="1"/>
    <xf numFmtId="0" fontId="0" fillId="22" borderId="7" xfId="0" applyFill="1" applyBorder="1" applyProtection="1"/>
    <xf numFmtId="0" fontId="21" fillId="22" borderId="8" xfId="0" applyFont="1" applyFill="1" applyBorder="1" applyAlignment="1" applyProtection="1">
      <alignment horizontal="center"/>
    </xf>
    <xf numFmtId="0" fontId="24" fillId="22" borderId="0" xfId="0" applyFont="1" applyFill="1" applyBorder="1" applyAlignment="1" applyProtection="1">
      <alignment vertical="center" textRotation="90"/>
    </xf>
    <xf numFmtId="0" fontId="15" fillId="22" borderId="0" xfId="0" applyNumberFormat="1" applyFont="1" applyFill="1" applyBorder="1" applyAlignment="1" applyProtection="1">
      <alignment vertical="top" wrapText="1"/>
    </xf>
    <xf numFmtId="0" fontId="0" fillId="22" borderId="0" xfId="0" applyFill="1" applyBorder="1" applyAlignment="1" applyProtection="1"/>
    <xf numFmtId="0" fontId="0" fillId="22" borderId="8" xfId="0" applyFill="1" applyBorder="1" applyAlignment="1" applyProtection="1"/>
    <xf numFmtId="0" fontId="0" fillId="22" borderId="4" xfId="0" applyFill="1" applyBorder="1" applyAlignment="1" applyProtection="1"/>
    <xf numFmtId="0" fontId="0" fillId="22" borderId="5" xfId="0" applyFill="1" applyBorder="1" applyProtection="1"/>
    <xf numFmtId="0" fontId="0" fillId="22" borderId="6" xfId="0" applyFill="1" applyBorder="1" applyProtection="1"/>
    <xf numFmtId="0" fontId="0" fillId="22" borderId="6" xfId="0" applyFill="1" applyBorder="1" applyAlignment="1" applyProtection="1"/>
    <xf numFmtId="0" fontId="0" fillId="22" borderId="9" xfId="0" applyFill="1" applyBorder="1" applyAlignment="1" applyProtection="1"/>
    <xf numFmtId="0" fontId="18" fillId="0" borderId="4" xfId="0" applyFont="1" applyFill="1" applyBorder="1"/>
    <xf numFmtId="0" fontId="2" fillId="19" borderId="3" xfId="0" applyFont="1" applyFill="1" applyBorder="1"/>
    <xf numFmtId="0" fontId="2" fillId="19" borderId="7" xfId="0" applyFont="1" applyFill="1" applyBorder="1"/>
    <xf numFmtId="0" fontId="2" fillId="19" borderId="8" xfId="0" applyFont="1" applyFill="1" applyBorder="1"/>
    <xf numFmtId="0" fontId="19" fillId="0" borderId="7" xfId="0" applyFont="1" applyBorder="1"/>
    <xf numFmtId="0" fontId="2" fillId="17" borderId="8" xfId="0" applyFont="1" applyFill="1" applyBorder="1"/>
    <xf numFmtId="0" fontId="2" fillId="17" borderId="9" xfId="0" applyFont="1" applyFill="1" applyBorder="1"/>
    <xf numFmtId="0" fontId="2" fillId="17" borderId="0" xfId="0" applyFont="1" applyFill="1"/>
    <xf numFmtId="0" fontId="19" fillId="0" borderId="21" xfId="0" applyFont="1" applyBorder="1"/>
    <xf numFmtId="0" fontId="2" fillId="17" borderId="1" xfId="0" applyFont="1" applyFill="1" applyBorder="1"/>
    <xf numFmtId="0" fontId="2" fillId="17" borderId="0" xfId="0" applyFont="1" applyFill="1" applyBorder="1"/>
    <xf numFmtId="0" fontId="19" fillId="0" borderId="10" xfId="0" applyFont="1" applyBorder="1"/>
    <xf numFmtId="0" fontId="2" fillId="17" borderId="6" xfId="0" applyFont="1" applyFill="1" applyBorder="1"/>
    <xf numFmtId="0" fontId="19" fillId="19" borderId="0" xfId="0" applyFont="1" applyFill="1"/>
    <xf numFmtId="2" fontId="2" fillId="17" borderId="0" xfId="0" applyNumberFormat="1" applyFont="1" applyFill="1" applyBorder="1" applyAlignment="1">
      <alignment horizontal="center"/>
    </xf>
    <xf numFmtId="2" fontId="2" fillId="17" borderId="8" xfId="0" applyNumberFormat="1" applyFont="1" applyFill="1" applyBorder="1" applyAlignment="1">
      <alignment horizontal="center"/>
    </xf>
    <xf numFmtId="0" fontId="0" fillId="22" borderId="0" xfId="0" applyFill="1"/>
    <xf numFmtId="0" fontId="5" fillId="22" borderId="0" xfId="0" applyFont="1" applyFill="1"/>
    <xf numFmtId="0" fontId="37" fillId="0" borderId="0" xfId="0" applyFont="1" applyFill="1"/>
    <xf numFmtId="0" fontId="0" fillId="0" borderId="63" xfId="0" applyBorder="1"/>
    <xf numFmtId="0" fontId="0" fillId="17" borderId="63" xfId="0" applyFill="1" applyBorder="1"/>
    <xf numFmtId="0" fontId="2" fillId="22" borderId="0" xfId="0" applyFont="1" applyFill="1"/>
    <xf numFmtId="169" fontId="0" fillId="0" borderId="0" xfId="0" applyNumberFormat="1"/>
    <xf numFmtId="170" fontId="2" fillId="3" borderId="4" xfId="0" applyNumberFormat="1" applyFont="1" applyFill="1" applyBorder="1"/>
    <xf numFmtId="166" fontId="2" fillId="0" borderId="0" xfId="0" applyNumberFormat="1" applyFont="1" applyBorder="1"/>
    <xf numFmtId="0" fontId="2" fillId="3" borderId="38" xfId="0" applyFont="1" applyFill="1" applyBorder="1"/>
    <xf numFmtId="164" fontId="1" fillId="22" borderId="21" xfId="0" applyNumberFormat="1" applyFont="1" applyFill="1" applyBorder="1" applyAlignment="1" applyProtection="1">
      <alignment horizontal="center"/>
    </xf>
    <xf numFmtId="0" fontId="0" fillId="0" borderId="0" xfId="0" applyBorder="1" applyProtection="1"/>
    <xf numFmtId="0" fontId="2" fillId="22" borderId="0" xfId="0" applyFont="1" applyFill="1" applyBorder="1" applyProtection="1"/>
    <xf numFmtId="0" fontId="7" fillId="22" borderId="4" xfId="0" applyFont="1" applyFill="1" applyBorder="1" applyProtection="1"/>
    <xf numFmtId="4" fontId="2" fillId="0" borderId="8" xfId="0" applyNumberFormat="1" applyFont="1" applyFill="1" applyBorder="1"/>
    <xf numFmtId="165" fontId="2" fillId="0" borderId="22" xfId="0" applyNumberFormat="1" applyFont="1" applyFill="1" applyBorder="1"/>
    <xf numFmtId="0" fontId="30" fillId="3" borderId="22" xfId="0" applyFont="1" applyFill="1" applyBorder="1"/>
    <xf numFmtId="165" fontId="18" fillId="0" borderId="10" xfId="0" applyNumberFormat="1" applyFont="1" applyFill="1" applyBorder="1"/>
    <xf numFmtId="4" fontId="2" fillId="0" borderId="10" xfId="0" applyNumberFormat="1" applyFont="1" applyFill="1" applyBorder="1"/>
    <xf numFmtId="0" fontId="2" fillId="19" borderId="13" xfId="0" applyFont="1" applyFill="1" applyBorder="1"/>
    <xf numFmtId="0" fontId="2" fillId="19" borderId="15" xfId="0" applyFont="1" applyFill="1" applyBorder="1"/>
    <xf numFmtId="0" fontId="2" fillId="3" borderId="65" xfId="0" applyFont="1" applyFill="1" applyBorder="1"/>
    <xf numFmtId="0" fontId="2" fillId="3" borderId="66" xfId="0" applyFont="1" applyFill="1" applyBorder="1"/>
    <xf numFmtId="0" fontId="2" fillId="3" borderId="67" xfId="0" applyFont="1" applyFill="1" applyBorder="1"/>
    <xf numFmtId="0" fontId="2" fillId="3" borderId="68" xfId="0" applyFont="1" applyFill="1" applyBorder="1"/>
    <xf numFmtId="0" fontId="2" fillId="3" borderId="69" xfId="0" applyFont="1" applyFill="1" applyBorder="1"/>
    <xf numFmtId="0" fontId="2" fillId="3" borderId="70" xfId="0" applyFont="1" applyFill="1" applyBorder="1"/>
    <xf numFmtId="0" fontId="2" fillId="3" borderId="71" xfId="0" applyFont="1" applyFill="1" applyBorder="1"/>
    <xf numFmtId="0" fontId="2" fillId="3" borderId="72" xfId="0" applyFont="1" applyFill="1" applyBorder="1"/>
    <xf numFmtId="0" fontId="2" fillId="3" borderId="73" xfId="0" applyFont="1" applyFill="1" applyBorder="1"/>
    <xf numFmtId="1" fontId="0" fillId="19" borderId="20" xfId="0" applyNumberFormat="1" applyFill="1" applyBorder="1" applyAlignment="1" applyProtection="1">
      <alignment horizontal="center"/>
    </xf>
    <xf numFmtId="1" fontId="0" fillId="19" borderId="22" xfId="0" applyNumberFormat="1" applyFill="1" applyBorder="1" applyAlignment="1" applyProtection="1">
      <alignment horizontal="center"/>
    </xf>
    <xf numFmtId="1" fontId="0" fillId="19" borderId="19" xfId="0" applyNumberFormat="1" applyFill="1" applyBorder="1" applyAlignment="1" applyProtection="1">
      <alignment horizontal="center"/>
    </xf>
    <xf numFmtId="171" fontId="0" fillId="19" borderId="7" xfId="0" applyNumberFormat="1" applyFill="1" applyBorder="1" applyAlignment="1" applyProtection="1">
      <alignment horizontal="right" indent="2"/>
    </xf>
    <xf numFmtId="171" fontId="0" fillId="19" borderId="8" xfId="0" applyNumberFormat="1" applyFill="1" applyBorder="1" applyAlignment="1" applyProtection="1">
      <alignment horizontal="right" indent="2"/>
    </xf>
    <xf numFmtId="171" fontId="0" fillId="19" borderId="9" xfId="0" applyNumberFormat="1" applyFill="1" applyBorder="1" applyAlignment="1" applyProtection="1">
      <alignment horizontal="right" indent="2"/>
    </xf>
    <xf numFmtId="164" fontId="0" fillId="20" borderId="3" xfId="0" applyNumberFormat="1" applyFill="1" applyBorder="1" applyAlignment="1" applyProtection="1">
      <alignment horizontal="right" indent="2"/>
    </xf>
    <xf numFmtId="164" fontId="0" fillId="20" borderId="4" xfId="0" applyNumberFormat="1" applyFill="1" applyBorder="1" applyAlignment="1" applyProtection="1">
      <alignment horizontal="right" indent="2"/>
    </xf>
    <xf numFmtId="164" fontId="0" fillId="20" borderId="5" xfId="0" applyNumberFormat="1" applyFill="1" applyBorder="1" applyAlignment="1" applyProtection="1">
      <alignment horizontal="right" indent="2"/>
    </xf>
    <xf numFmtId="1" fontId="0" fillId="17" borderId="20" xfId="0" applyNumberFormat="1" applyFill="1" applyBorder="1" applyAlignment="1" applyProtection="1">
      <alignment horizontal="right" indent="2"/>
    </xf>
    <xf numFmtId="1" fontId="0" fillId="17" borderId="22" xfId="0" applyNumberFormat="1" applyFill="1" applyBorder="1" applyAlignment="1" applyProtection="1">
      <alignment horizontal="right" indent="2"/>
    </xf>
    <xf numFmtId="1" fontId="0" fillId="17" borderId="19" xfId="0" applyNumberFormat="1" applyFill="1" applyBorder="1" applyAlignment="1" applyProtection="1">
      <alignment horizontal="right" indent="2"/>
    </xf>
    <xf numFmtId="1" fontId="0" fillId="27" borderId="19" xfId="0" applyNumberFormat="1" applyFill="1" applyBorder="1" applyAlignment="1" applyProtection="1">
      <alignment horizontal="right" indent="2"/>
    </xf>
    <xf numFmtId="1" fontId="1" fillId="22" borderId="1" xfId="0" applyNumberFormat="1" applyFont="1" applyFill="1" applyBorder="1" applyAlignment="1" applyProtection="1">
      <alignment horizontal="center"/>
    </xf>
    <xf numFmtId="0" fontId="5" fillId="3" borderId="46" xfId="0" applyFont="1" applyFill="1" applyBorder="1"/>
    <xf numFmtId="1" fontId="1" fillId="22" borderId="2" xfId="0" applyNumberFormat="1" applyFont="1" applyFill="1" applyBorder="1" applyAlignment="1" applyProtection="1">
      <alignment horizontal="center"/>
    </xf>
    <xf numFmtId="0" fontId="2" fillId="19" borderId="12" xfId="0" applyFont="1" applyFill="1" applyBorder="1"/>
    <xf numFmtId="0" fontId="2" fillId="19" borderId="0" xfId="0" applyFont="1" applyFill="1" applyBorder="1"/>
    <xf numFmtId="1" fontId="0" fillId="27" borderId="22" xfId="0" applyNumberFormat="1" applyFill="1" applyBorder="1" applyAlignment="1" applyProtection="1">
      <alignment horizontal="right" indent="2"/>
    </xf>
    <xf numFmtId="170" fontId="2" fillId="3" borderId="46" xfId="0" applyNumberFormat="1" applyFont="1" applyFill="1" applyBorder="1"/>
    <xf numFmtId="168" fontId="2" fillId="0" borderId="0" xfId="0" applyNumberFormat="1" applyFont="1" applyFill="1" applyBorder="1"/>
    <xf numFmtId="0" fontId="19" fillId="0" borderId="2" xfId="0" applyFont="1" applyFill="1" applyBorder="1"/>
    <xf numFmtId="0" fontId="19" fillId="0" borderId="26" xfId="0" applyFont="1" applyBorder="1"/>
    <xf numFmtId="0" fontId="2" fillId="15" borderId="11" xfId="0" applyFont="1" applyFill="1" applyBorder="1" applyProtection="1">
      <protection locked="0" hidden="1"/>
    </xf>
    <xf numFmtId="0" fontId="2" fillId="15" borderId="14" xfId="0" applyFont="1" applyFill="1" applyBorder="1" applyProtection="1">
      <protection locked="0" hidden="1"/>
    </xf>
    <xf numFmtId="0" fontId="2" fillId="15" borderId="16" xfId="0" applyFont="1" applyFill="1" applyBorder="1" applyProtection="1">
      <protection locked="0" hidden="1"/>
    </xf>
    <xf numFmtId="0" fontId="2" fillId="15" borderId="12" xfId="0" applyFont="1" applyFill="1" applyBorder="1" applyProtection="1">
      <protection locked="0" hidden="1"/>
    </xf>
    <xf numFmtId="0" fontId="2" fillId="15" borderId="0" xfId="0" applyFont="1" applyFill="1" applyBorder="1" applyProtection="1">
      <protection locked="0" hidden="1"/>
    </xf>
    <xf numFmtId="0" fontId="2" fillId="15" borderId="17" xfId="0" applyFont="1" applyFill="1" applyBorder="1" applyProtection="1">
      <protection locked="0" hidden="1"/>
    </xf>
    <xf numFmtId="0" fontId="2" fillId="15" borderId="13" xfId="0" applyFont="1" applyFill="1" applyBorder="1"/>
    <xf numFmtId="0" fontId="2" fillId="15" borderId="15" xfId="0" applyFont="1" applyFill="1" applyBorder="1"/>
    <xf numFmtId="0" fontId="2" fillId="15" borderId="18" xfId="0" applyFont="1" applyFill="1" applyBorder="1"/>
    <xf numFmtId="0" fontId="2" fillId="0" borderId="37" xfId="0" applyFont="1" applyFill="1" applyBorder="1" applyProtection="1">
      <protection locked="0" hidden="1"/>
    </xf>
    <xf numFmtId="0" fontId="2" fillId="0" borderId="37" xfId="0" applyFont="1" applyBorder="1" applyProtection="1">
      <protection locked="0" hidden="1"/>
    </xf>
    <xf numFmtId="0" fontId="2" fillId="2" borderId="37" xfId="0" applyFont="1" applyFill="1" applyBorder="1" applyProtection="1">
      <protection locked="0" hidden="1"/>
    </xf>
    <xf numFmtId="0" fontId="2" fillId="2" borderId="17" xfId="0" applyFont="1" applyFill="1" applyBorder="1" applyProtection="1">
      <protection locked="0" hidden="1"/>
    </xf>
    <xf numFmtId="1" fontId="0" fillId="27" borderId="20" xfId="0" applyNumberFormat="1" applyFill="1" applyBorder="1" applyAlignment="1" applyProtection="1">
      <alignment horizontal="right" indent="2"/>
    </xf>
    <xf numFmtId="1" fontId="0" fillId="17" borderId="4" xfId="0" applyNumberFormat="1" applyFill="1" applyBorder="1" applyProtection="1"/>
    <xf numFmtId="164" fontId="0" fillId="17" borderId="4" xfId="0" applyNumberFormat="1" applyFill="1" applyBorder="1" applyProtection="1"/>
    <xf numFmtId="1" fontId="0" fillId="17" borderId="5" xfId="0" applyNumberFormat="1" applyFill="1" applyBorder="1" applyProtection="1"/>
    <xf numFmtId="165" fontId="18" fillId="0" borderId="0" xfId="0" applyNumberFormat="1" applyFont="1"/>
    <xf numFmtId="0" fontId="18" fillId="22" borderId="0" xfId="0" applyFont="1" applyFill="1"/>
    <xf numFmtId="0" fontId="19" fillId="22" borderId="0" xfId="0" applyFont="1" applyFill="1"/>
    <xf numFmtId="0" fontId="18" fillId="22" borderId="2" xfId="0" applyFont="1" applyFill="1" applyBorder="1"/>
    <xf numFmtId="0" fontId="19" fillId="22" borderId="0" xfId="0" applyFont="1" applyFill="1" applyBorder="1"/>
    <xf numFmtId="0" fontId="19" fillId="22" borderId="0" xfId="0" applyFont="1" applyFill="1" applyBorder="1" applyProtection="1">
      <protection locked="0" hidden="1"/>
    </xf>
    <xf numFmtId="0" fontId="18" fillId="22" borderId="3" xfId="0" applyFont="1" applyFill="1" applyBorder="1"/>
    <xf numFmtId="0" fontId="18" fillId="22" borderId="10" xfId="0" applyFont="1" applyFill="1" applyBorder="1"/>
    <xf numFmtId="165" fontId="18" fillId="22" borderId="10" xfId="0" applyNumberFormat="1" applyFont="1" applyFill="1" applyBorder="1"/>
    <xf numFmtId="0" fontId="18" fillId="22" borderId="7" xfId="0" applyFont="1" applyFill="1" applyBorder="1"/>
    <xf numFmtId="0" fontId="18" fillId="22" borderId="4" xfId="0" applyFont="1" applyFill="1" applyBorder="1"/>
    <xf numFmtId="0" fontId="18" fillId="22" borderId="0" xfId="0" applyFont="1" applyFill="1" applyBorder="1"/>
    <xf numFmtId="165" fontId="18" fillId="22" borderId="0" xfId="0" applyNumberFormat="1" applyFont="1" applyFill="1" applyBorder="1"/>
    <xf numFmtId="0" fontId="18" fillId="22" borderId="8" xfId="0" applyFont="1" applyFill="1" applyBorder="1"/>
    <xf numFmtId="0" fontId="18" fillId="22" borderId="5" xfId="0" applyFont="1" applyFill="1" applyBorder="1"/>
    <xf numFmtId="0" fontId="18" fillId="22" borderId="6" xfId="0" applyFont="1" applyFill="1" applyBorder="1"/>
    <xf numFmtId="165" fontId="18" fillId="22" borderId="6" xfId="0" applyNumberFormat="1" applyFont="1" applyFill="1" applyBorder="1"/>
    <xf numFmtId="0" fontId="18" fillId="22" borderId="9" xfId="0" applyFont="1" applyFill="1" applyBorder="1"/>
    <xf numFmtId="0" fontId="19" fillId="22" borderId="6" xfId="0" applyFont="1" applyFill="1" applyBorder="1" applyProtection="1">
      <protection locked="0" hidden="1"/>
    </xf>
    <xf numFmtId="0" fontId="18" fillId="22" borderId="21" xfId="0" applyFont="1" applyFill="1" applyBorder="1"/>
    <xf numFmtId="0" fontId="18" fillId="22" borderId="1" xfId="0" applyFont="1" applyFill="1" applyBorder="1"/>
    <xf numFmtId="167" fontId="18" fillId="22" borderId="0" xfId="0" applyNumberFormat="1" applyFont="1" applyFill="1" applyBorder="1"/>
    <xf numFmtId="0" fontId="19" fillId="22" borderId="6" xfId="0" applyFont="1" applyFill="1" applyBorder="1"/>
    <xf numFmtId="0" fontId="19" fillId="22" borderId="8" xfId="0" applyFont="1" applyFill="1" applyBorder="1"/>
    <xf numFmtId="2" fontId="18" fillId="22" borderId="3" xfId="0" applyNumberFormat="1" applyFont="1" applyFill="1" applyBorder="1"/>
    <xf numFmtId="165" fontId="18" fillId="22" borderId="33" xfId="0" applyNumberFormat="1" applyFont="1" applyFill="1" applyBorder="1" applyAlignment="1"/>
    <xf numFmtId="2" fontId="18" fillId="22" borderId="23" xfId="0" applyNumberFormat="1" applyFont="1" applyFill="1" applyBorder="1"/>
    <xf numFmtId="2" fontId="18" fillId="22" borderId="4" xfId="0" applyNumberFormat="1" applyFont="1" applyFill="1" applyBorder="1"/>
    <xf numFmtId="165" fontId="18" fillId="22" borderId="30" xfId="0" applyNumberFormat="1" applyFont="1" applyFill="1" applyBorder="1" applyAlignment="1"/>
    <xf numFmtId="2" fontId="18" fillId="22" borderId="24" xfId="0" applyNumberFormat="1" applyFont="1" applyFill="1" applyBorder="1"/>
    <xf numFmtId="2" fontId="18" fillId="22" borderId="5" xfId="0" applyNumberFormat="1" applyFont="1" applyFill="1" applyBorder="1"/>
    <xf numFmtId="165" fontId="18" fillId="22" borderId="43" xfId="0" applyNumberFormat="1" applyFont="1" applyFill="1" applyBorder="1" applyAlignment="1"/>
    <xf numFmtId="2" fontId="18" fillId="22" borderId="25" xfId="0" applyNumberFormat="1" applyFont="1" applyFill="1" applyBorder="1"/>
    <xf numFmtId="0" fontId="18" fillId="22" borderId="0" xfId="0" applyFont="1" applyFill="1" applyBorder="1" applyAlignment="1">
      <alignment horizontal="center"/>
    </xf>
    <xf numFmtId="3" fontId="0" fillId="17" borderId="4" xfId="0" applyNumberFormat="1" applyFill="1" applyBorder="1" applyProtection="1"/>
    <xf numFmtId="3" fontId="0" fillId="17" borderId="5" xfId="0" applyNumberFormat="1" applyFill="1" applyBorder="1" applyProtection="1"/>
    <xf numFmtId="3" fontId="0" fillId="20" borderId="20" xfId="0" applyNumberFormat="1" applyFill="1" applyBorder="1" applyAlignment="1" applyProtection="1">
      <alignment horizontal="right" indent="2"/>
    </xf>
    <xf numFmtId="3" fontId="0" fillId="20" borderId="22" xfId="0" applyNumberFormat="1" applyFill="1" applyBorder="1" applyAlignment="1" applyProtection="1">
      <alignment horizontal="right" indent="2"/>
    </xf>
    <xf numFmtId="3" fontId="0" fillId="20" borderId="19" xfId="0" applyNumberFormat="1" applyFill="1" applyBorder="1" applyAlignment="1" applyProtection="1">
      <alignment horizontal="right" indent="2"/>
    </xf>
    <xf numFmtId="3" fontId="0" fillId="19" borderId="3" xfId="0" applyNumberFormat="1" applyFill="1" applyBorder="1" applyAlignment="1" applyProtection="1">
      <alignment horizontal="right" indent="2"/>
    </xf>
    <xf numFmtId="3" fontId="0" fillId="19" borderId="4" xfId="0" applyNumberFormat="1" applyFill="1" applyBorder="1" applyAlignment="1" applyProtection="1">
      <alignment horizontal="right" indent="2"/>
    </xf>
    <xf numFmtId="3" fontId="0" fillId="19" borderId="5" xfId="0" applyNumberFormat="1" applyFill="1" applyBorder="1" applyAlignment="1" applyProtection="1">
      <alignment horizontal="right" indent="2"/>
    </xf>
    <xf numFmtId="3" fontId="0" fillId="17" borderId="10" xfId="0" applyNumberFormat="1" applyFill="1" applyBorder="1" applyAlignment="1" applyProtection="1">
      <alignment horizontal="right" indent="2"/>
    </xf>
    <xf numFmtId="3" fontId="0" fillId="17" borderId="0" xfId="0" applyNumberFormat="1" applyFill="1" applyBorder="1" applyAlignment="1" applyProtection="1">
      <alignment horizontal="right" indent="2"/>
    </xf>
    <xf numFmtId="3" fontId="0" fillId="17" borderId="6" xfId="0" applyNumberFormat="1" applyFill="1" applyBorder="1" applyAlignment="1" applyProtection="1">
      <alignment horizontal="right" indent="2"/>
    </xf>
    <xf numFmtId="3" fontId="0" fillId="27" borderId="8" xfId="0" applyNumberFormat="1" applyFill="1" applyBorder="1" applyAlignment="1" applyProtection="1">
      <alignment horizontal="right" indent="2"/>
    </xf>
    <xf numFmtId="3" fontId="0" fillId="27" borderId="9" xfId="0" applyNumberFormat="1" applyFill="1" applyBorder="1" applyAlignment="1" applyProtection="1">
      <alignment horizontal="right" indent="2"/>
    </xf>
    <xf numFmtId="2" fontId="18" fillId="22" borderId="10" xfId="0" applyNumberFormat="1" applyFont="1" applyFill="1" applyBorder="1"/>
    <xf numFmtId="2" fontId="18" fillId="22" borderId="0" xfId="0" applyNumberFormat="1" applyFont="1" applyFill="1" applyBorder="1"/>
    <xf numFmtId="2" fontId="2" fillId="0" borderId="0" xfId="0" applyNumberFormat="1" applyFont="1"/>
    <xf numFmtId="2" fontId="18" fillId="22" borderId="6" xfId="0" applyNumberFormat="1" applyFont="1" applyFill="1" applyBorder="1"/>
    <xf numFmtId="164" fontId="18" fillId="22" borderId="10" xfId="0" applyNumberFormat="1" applyFont="1" applyFill="1" applyBorder="1"/>
    <xf numFmtId="164" fontId="18" fillId="22" borderId="0" xfId="0" applyNumberFormat="1" applyFont="1" applyFill="1" applyBorder="1"/>
    <xf numFmtId="0" fontId="19" fillId="0" borderId="12" xfId="0" applyFont="1" applyFill="1" applyBorder="1" applyProtection="1">
      <protection locked="0" hidden="1"/>
    </xf>
    <xf numFmtId="0" fontId="19" fillId="0" borderId="0" xfId="0" applyFont="1" applyFill="1" applyBorder="1" applyProtection="1">
      <protection locked="0" hidden="1"/>
    </xf>
    <xf numFmtId="3" fontId="0" fillId="17" borderId="0" xfId="0" applyNumberFormat="1" applyFill="1" applyBorder="1" applyProtection="1"/>
    <xf numFmtId="3" fontId="0" fillId="17" borderId="7" xfId="0" applyNumberFormat="1" applyFill="1" applyBorder="1" applyAlignment="1" applyProtection="1"/>
    <xf numFmtId="3" fontId="0" fillId="17" borderId="8" xfId="0" applyNumberFormat="1" applyFill="1" applyBorder="1" applyAlignment="1" applyProtection="1"/>
    <xf numFmtId="3" fontId="0" fillId="17" borderId="7" xfId="0" applyNumberFormat="1" applyFill="1" applyBorder="1" applyProtection="1"/>
    <xf numFmtId="3" fontId="0" fillId="17" borderId="8" xfId="0" applyNumberFormat="1" applyFill="1" applyBorder="1" applyProtection="1"/>
    <xf numFmtId="166" fontId="2" fillId="0" borderId="0" xfId="0" applyNumberFormat="1" applyFont="1"/>
    <xf numFmtId="0" fontId="4" fillId="22" borderId="0" xfId="0" applyFont="1" applyFill="1" applyBorder="1" applyAlignment="1" applyProtection="1"/>
    <xf numFmtId="0" fontId="0" fillId="22" borderId="41" xfId="0" applyFill="1" applyBorder="1" applyProtection="1"/>
    <xf numFmtId="0" fontId="0" fillId="22" borderId="75" xfId="0" applyFill="1" applyBorder="1" applyProtection="1"/>
    <xf numFmtId="0" fontId="0" fillId="22" borderId="76" xfId="0" applyFill="1" applyBorder="1" applyProtection="1"/>
    <xf numFmtId="0" fontId="0" fillId="22" borderId="74" xfId="0" applyFill="1" applyBorder="1" applyProtection="1"/>
    <xf numFmtId="0" fontId="0" fillId="22" borderId="77" xfId="0" applyFill="1" applyBorder="1" applyProtection="1"/>
    <xf numFmtId="0" fontId="5" fillId="22" borderId="6" xfId="0" applyFont="1" applyFill="1" applyBorder="1" applyAlignment="1" applyProtection="1">
      <alignment horizontal="right"/>
    </xf>
    <xf numFmtId="0" fontId="0" fillId="22" borderId="6" xfId="0" applyNumberFormat="1" applyFill="1" applyBorder="1" applyProtection="1"/>
    <xf numFmtId="0" fontId="0" fillId="22" borderId="78" xfId="0" applyFill="1" applyBorder="1" applyProtection="1"/>
    <xf numFmtId="0" fontId="5" fillId="3" borderId="21" xfId="0" applyFont="1" applyFill="1" applyBorder="1" applyAlignment="1">
      <alignment vertical="top" wrapText="1"/>
    </xf>
    <xf numFmtId="49" fontId="0" fillId="0" borderId="79" xfId="0" applyNumberFormat="1" applyBorder="1"/>
    <xf numFmtId="0" fontId="0" fillId="0" borderId="80" xfId="0" applyBorder="1"/>
    <xf numFmtId="0" fontId="5" fillId="0" borderId="80" xfId="0" applyFont="1" applyBorder="1"/>
    <xf numFmtId="49" fontId="4" fillId="0" borderId="19" xfId="0" applyNumberFormat="1" applyFont="1" applyBorder="1"/>
    <xf numFmtId="0" fontId="0" fillId="0" borderId="19" xfId="0" applyBorder="1"/>
    <xf numFmtId="0" fontId="5" fillId="0" borderId="2" xfId="0" applyFont="1" applyBorder="1"/>
    <xf numFmtId="14" fontId="0" fillId="0" borderId="19" xfId="0" applyNumberFormat="1" applyBorder="1"/>
    <xf numFmtId="49" fontId="0" fillId="0" borderId="2" xfId="0" applyNumberFormat="1" applyBorder="1"/>
    <xf numFmtId="0" fontId="0" fillId="0" borderId="2" xfId="0" applyBorder="1"/>
    <xf numFmtId="49" fontId="4" fillId="0" borderId="2" xfId="0" applyNumberFormat="1" applyFont="1" applyBorder="1"/>
    <xf numFmtId="14" fontId="5" fillId="0" borderId="2" xfId="0" applyNumberFormat="1" applyFont="1" applyBorder="1"/>
    <xf numFmtId="14" fontId="0" fillId="0" borderId="2" xfId="0" applyNumberFormat="1" applyBorder="1"/>
    <xf numFmtId="0" fontId="5" fillId="0" borderId="22" xfId="0" applyNumberFormat="1" applyFont="1" applyBorder="1" applyAlignment="1">
      <alignment vertical="center" wrapText="1"/>
    </xf>
    <xf numFmtId="0" fontId="5" fillId="0" borderId="4" xfId="0" applyNumberFormat="1" applyFont="1" applyBorder="1" applyAlignment="1">
      <alignment vertical="center" wrapText="1"/>
    </xf>
    <xf numFmtId="0" fontId="4" fillId="22" borderId="0" xfId="0" applyFont="1" applyFill="1" applyBorder="1" applyAlignment="1" applyProtection="1">
      <alignment horizontal="center"/>
    </xf>
    <xf numFmtId="0" fontId="0" fillId="5" borderId="4" xfId="0" applyFill="1" applyBorder="1" applyProtection="1"/>
    <xf numFmtId="0" fontId="0" fillId="5" borderId="8" xfId="0" applyFill="1" applyBorder="1" applyProtection="1"/>
    <xf numFmtId="0" fontId="0" fillId="5" borderId="5" xfId="0" applyFill="1" applyBorder="1" applyProtection="1"/>
    <xf numFmtId="0" fontId="0" fillId="5" borderId="6" xfId="0" applyFill="1" applyBorder="1" applyProtection="1"/>
    <xf numFmtId="0" fontId="0" fillId="5" borderId="9" xfId="0" applyFill="1" applyBorder="1" applyProtection="1"/>
    <xf numFmtId="0" fontId="4" fillId="5" borderId="0" xfId="0" applyFont="1" applyFill="1" applyBorder="1" applyAlignment="1" applyProtection="1">
      <alignment horizontal="right"/>
    </xf>
    <xf numFmtId="164" fontId="0" fillId="5" borderId="2" xfId="0" applyNumberFormat="1" applyFill="1" applyBorder="1" applyAlignment="1" applyProtection="1">
      <alignment horizontal="center"/>
    </xf>
    <xf numFmtId="0" fontId="5" fillId="0" borderId="19" xfId="0" applyFont="1" applyBorder="1"/>
    <xf numFmtId="14" fontId="5" fillId="0" borderId="19" xfId="0" applyNumberFormat="1" applyFont="1" applyBorder="1"/>
    <xf numFmtId="0" fontId="4" fillId="22" borderId="0" xfId="0" applyFont="1" applyFill="1" applyBorder="1" applyAlignment="1" applyProtection="1">
      <alignment horizontal="right"/>
    </xf>
    <xf numFmtId="0" fontId="6" fillId="22" borderId="0" xfId="0" applyFont="1" applyFill="1" applyBorder="1" applyAlignment="1" applyProtection="1"/>
    <xf numFmtId="0" fontId="5" fillId="22" borderId="0" xfId="0" applyFont="1" applyFill="1" applyBorder="1" applyAlignment="1" applyProtection="1"/>
    <xf numFmtId="0" fontId="15" fillId="22" borderId="10" xfId="0" applyFont="1" applyFill="1" applyBorder="1" applyProtection="1"/>
    <xf numFmtId="0" fontId="3" fillId="0" borderId="4" xfId="2" applyBorder="1" applyAlignment="1" applyProtection="1">
      <alignment wrapText="1"/>
    </xf>
    <xf numFmtId="0" fontId="3" fillId="0" borderId="22" xfId="2" applyBorder="1" applyAlignment="1" applyProtection="1">
      <alignment wrapText="1"/>
    </xf>
    <xf numFmtId="0" fontId="0" fillId="0" borderId="22" xfId="0" applyBorder="1"/>
    <xf numFmtId="14" fontId="5" fillId="0" borderId="22" xfId="0" applyNumberFormat="1" applyFont="1" applyBorder="1"/>
    <xf numFmtId="0" fontId="5" fillId="0" borderId="84" xfId="0" applyFont="1" applyBorder="1"/>
    <xf numFmtId="0" fontId="5" fillId="0" borderId="85" xfId="0" applyFont="1" applyBorder="1"/>
    <xf numFmtId="0" fontId="40" fillId="22" borderId="0" xfId="2" applyFont="1" applyFill="1" applyBorder="1" applyAlignment="1" applyProtection="1">
      <alignment horizontal="center"/>
      <protection locked="0" hidden="1"/>
    </xf>
    <xf numFmtId="0" fontId="4" fillId="16" borderId="0" xfId="0" applyFont="1" applyFill="1" applyBorder="1" applyAlignment="1" applyProtection="1">
      <alignment horizontal="center"/>
      <protection locked="0"/>
    </xf>
    <xf numFmtId="0" fontId="0" fillId="16" borderId="2" xfId="0" applyFill="1" applyBorder="1" applyAlignment="1" applyProtection="1">
      <alignment horizontal="center"/>
      <protection locked="0"/>
    </xf>
    <xf numFmtId="0" fontId="39" fillId="22" borderId="0" xfId="0" applyFont="1" applyFill="1" applyBorder="1" applyAlignment="1" applyProtection="1">
      <alignment horizontal="center"/>
      <protection locked="0" hidden="1"/>
    </xf>
    <xf numFmtId="0" fontId="25" fillId="5" borderId="0" xfId="0" applyFont="1" applyFill="1" applyBorder="1" applyAlignment="1" applyProtection="1">
      <alignment horizontal="center"/>
    </xf>
    <xf numFmtId="0" fontId="24" fillId="22" borderId="0" xfId="0" applyFont="1" applyFill="1" applyBorder="1" applyAlignment="1" applyProtection="1">
      <alignment horizontal="right"/>
    </xf>
    <xf numFmtId="164" fontId="19" fillId="20" borderId="21" xfId="0" applyNumberFormat="1" applyFont="1" applyFill="1" applyBorder="1" applyAlignment="1" applyProtection="1">
      <alignment horizontal="center" vertical="center"/>
    </xf>
    <xf numFmtId="164" fontId="19" fillId="20" borderId="1" xfId="0" applyNumberFormat="1" applyFont="1" applyFill="1" applyBorder="1" applyAlignment="1" applyProtection="1">
      <alignment horizontal="center" vertical="center"/>
    </xf>
    <xf numFmtId="0" fontId="0" fillId="22" borderId="0" xfId="0" applyFill="1" applyAlignment="1" applyProtection="1">
      <alignment horizontal="center" vertical="top" wrapText="1"/>
    </xf>
    <xf numFmtId="0" fontId="25" fillId="22" borderId="0" xfId="0" applyFont="1" applyFill="1" applyBorder="1" applyAlignment="1" applyProtection="1">
      <alignment horizontal="center"/>
    </xf>
    <xf numFmtId="0" fontId="23" fillId="23" borderId="64" xfId="0" applyFont="1" applyFill="1" applyBorder="1" applyAlignment="1" applyProtection="1">
      <alignment horizontal="center" vertical="top" wrapText="1"/>
    </xf>
    <xf numFmtId="0" fontId="23" fillId="23" borderId="44" xfId="0" applyFont="1" applyFill="1" applyBorder="1" applyAlignment="1" applyProtection="1">
      <alignment horizontal="center" vertical="top" wrapText="1"/>
    </xf>
    <xf numFmtId="0" fontId="3" fillId="22" borderId="50" xfId="2" applyFill="1" applyBorder="1" applyAlignment="1" applyProtection="1">
      <alignment horizontal="center" vertical="top" wrapText="1"/>
      <protection locked="0" hidden="1"/>
    </xf>
    <xf numFmtId="0" fontId="3" fillId="22" borderId="51" xfId="2" applyFill="1" applyBorder="1" applyAlignment="1" applyProtection="1">
      <alignment horizontal="center" vertical="top" wrapText="1"/>
      <protection locked="0" hidden="1"/>
    </xf>
    <xf numFmtId="0" fontId="3" fillId="22" borderId="52" xfId="2" applyFill="1" applyBorder="1" applyAlignment="1" applyProtection="1">
      <alignment horizontal="center" vertical="top" wrapText="1"/>
      <protection locked="0" hidden="1"/>
    </xf>
    <xf numFmtId="0" fontId="0" fillId="22" borderId="53" xfId="0" applyFill="1" applyBorder="1" applyAlignment="1" applyProtection="1">
      <alignment horizontal="center" vertical="top" wrapText="1"/>
    </xf>
    <xf numFmtId="0" fontId="0" fillId="22" borderId="54" xfId="0" applyFill="1" applyBorder="1" applyAlignment="1" applyProtection="1">
      <alignment horizontal="center" vertical="top" wrapText="1"/>
    </xf>
    <xf numFmtId="0" fontId="0" fillId="22" borderId="55" xfId="0" applyFill="1" applyBorder="1" applyAlignment="1" applyProtection="1">
      <alignment horizontal="center" vertical="top" wrapText="1"/>
    </xf>
    <xf numFmtId="0" fontId="0" fillId="22" borderId="48" xfId="0" applyFill="1" applyBorder="1" applyAlignment="1" applyProtection="1">
      <alignment horizontal="center" vertical="top" wrapText="1"/>
    </xf>
    <xf numFmtId="0" fontId="0" fillId="22" borderId="0" xfId="0" applyFill="1" applyBorder="1" applyAlignment="1" applyProtection="1">
      <alignment horizontal="center" vertical="top" wrapText="1"/>
    </xf>
    <xf numFmtId="0" fontId="0" fillId="22" borderId="49" xfId="0" applyFill="1" applyBorder="1" applyAlignment="1" applyProtection="1">
      <alignment horizontal="center" vertical="top" wrapText="1"/>
    </xf>
    <xf numFmtId="164" fontId="19" fillId="19" borderId="21" xfId="0" applyNumberFormat="1" applyFont="1" applyFill="1" applyBorder="1" applyAlignment="1" applyProtection="1">
      <alignment horizontal="center" vertical="center"/>
    </xf>
    <xf numFmtId="164" fontId="19" fillId="19" borderId="26" xfId="0" applyNumberFormat="1" applyFont="1" applyFill="1" applyBorder="1" applyAlignment="1" applyProtection="1">
      <alignment horizontal="center" vertical="center"/>
    </xf>
    <xf numFmtId="164" fontId="19" fillId="19" borderId="1" xfId="0" applyNumberFormat="1" applyFont="1" applyFill="1" applyBorder="1" applyAlignment="1" applyProtection="1">
      <alignment horizontal="center" vertical="center"/>
    </xf>
    <xf numFmtId="0" fontId="19" fillId="17" borderId="21" xfId="0" applyFont="1" applyFill="1" applyBorder="1" applyAlignment="1" applyProtection="1">
      <alignment horizontal="center"/>
    </xf>
    <xf numFmtId="0" fontId="19" fillId="17" borderId="1" xfId="0" applyFont="1" applyFill="1" applyBorder="1" applyAlignment="1" applyProtection="1">
      <alignment horizontal="center"/>
    </xf>
    <xf numFmtId="0" fontId="19" fillId="27" borderId="21" xfId="0" applyFont="1" applyFill="1" applyBorder="1" applyAlignment="1" applyProtection="1">
      <alignment horizontal="center"/>
    </xf>
    <xf numFmtId="0" fontId="19" fillId="27" borderId="1" xfId="0" applyFont="1" applyFill="1" applyBorder="1" applyAlignment="1" applyProtection="1">
      <alignment horizontal="center"/>
    </xf>
    <xf numFmtId="0" fontId="4" fillId="22" borderId="0" xfId="0" applyFont="1" applyFill="1" applyBorder="1" applyAlignment="1" applyProtection="1">
      <alignment horizontal="center"/>
    </xf>
    <xf numFmtId="0" fontId="26" fillId="22" borderId="81" xfId="0" applyFont="1" applyFill="1" applyBorder="1" applyAlignment="1" applyProtection="1">
      <alignment horizontal="center" vertical="center"/>
    </xf>
    <xf numFmtId="0" fontId="0" fillId="22" borderId="82" xfId="0" applyFill="1" applyBorder="1" applyAlignment="1">
      <alignment horizontal="center"/>
    </xf>
    <xf numFmtId="0" fontId="0" fillId="22" borderId="83" xfId="0" applyFill="1" applyBorder="1" applyAlignment="1">
      <alignment horizontal="center"/>
    </xf>
    <xf numFmtId="0" fontId="21" fillId="22" borderId="4" xfId="0" applyFont="1" applyFill="1" applyBorder="1" applyAlignment="1" applyProtection="1">
      <alignment horizontal="center"/>
    </xf>
    <xf numFmtId="0" fontId="21" fillId="22" borderId="0" xfId="0" applyFont="1" applyFill="1" applyBorder="1" applyAlignment="1" applyProtection="1">
      <alignment horizontal="center"/>
    </xf>
    <xf numFmtId="0" fontId="22" fillId="23" borderId="7" xfId="0" applyFont="1" applyFill="1" applyBorder="1" applyAlignment="1" applyProtection="1">
      <alignment horizontal="center" vertical="top" wrapText="1"/>
    </xf>
    <xf numFmtId="0" fontId="22" fillId="23" borderId="8" xfId="0" applyFont="1" applyFill="1" applyBorder="1" applyAlignment="1" applyProtection="1">
      <alignment horizontal="center" vertical="top" wrapText="1"/>
    </xf>
    <xf numFmtId="0" fontId="22" fillId="23" borderId="9" xfId="0" applyFont="1" applyFill="1" applyBorder="1" applyAlignment="1" applyProtection="1">
      <alignment horizontal="center" vertical="top" wrapText="1"/>
    </xf>
    <xf numFmtId="0" fontId="22" fillId="23" borderId="0" xfId="0" applyFont="1" applyFill="1" applyBorder="1" applyAlignment="1" applyProtection="1">
      <alignment horizontal="center" vertical="top" wrapText="1"/>
    </xf>
    <xf numFmtId="0" fontId="22" fillId="23" borderId="6" xfId="0" applyFont="1" applyFill="1" applyBorder="1" applyAlignment="1" applyProtection="1">
      <alignment horizontal="center" vertical="top" wrapText="1"/>
    </xf>
    <xf numFmtId="0" fontId="22" fillId="23" borderId="10" xfId="0" applyFont="1" applyFill="1" applyBorder="1" applyAlignment="1" applyProtection="1">
      <alignment horizontal="center" vertical="top" wrapText="1"/>
    </xf>
    <xf numFmtId="0" fontId="22" fillId="23" borderId="3" xfId="0" applyFont="1" applyFill="1" applyBorder="1" applyAlignment="1" applyProtection="1">
      <alignment horizontal="center" vertical="top" wrapText="1"/>
    </xf>
    <xf numFmtId="0" fontId="22" fillId="23" borderId="4" xfId="0" applyFont="1" applyFill="1" applyBorder="1" applyAlignment="1" applyProtection="1">
      <alignment horizontal="center" vertical="top" wrapText="1"/>
    </xf>
    <xf numFmtId="0" fontId="22" fillId="23" borderId="5" xfId="0" applyFont="1" applyFill="1" applyBorder="1" applyAlignment="1" applyProtection="1">
      <alignment horizontal="center" vertical="top" wrapText="1"/>
    </xf>
    <xf numFmtId="0" fontId="25" fillId="22" borderId="0" xfId="0" applyFont="1" applyFill="1" applyBorder="1" applyAlignment="1" applyProtection="1">
      <alignment horizontal="center" vertical="center"/>
    </xf>
    <xf numFmtId="0" fontId="4" fillId="22" borderId="0" xfId="0" applyFont="1" applyFill="1" applyBorder="1" applyAlignment="1" applyProtection="1">
      <alignment horizontal="center" vertical="center" textRotation="90"/>
    </xf>
    <xf numFmtId="0" fontId="19" fillId="13" borderId="8" xfId="0" applyFont="1" applyFill="1" applyBorder="1" applyAlignment="1">
      <alignment horizontal="center" vertical="center" textRotation="90"/>
    </xf>
    <xf numFmtId="0" fontId="2" fillId="3" borderId="21" xfId="0" applyFont="1" applyFill="1" applyBorder="1" applyAlignment="1">
      <alignment horizontal="center"/>
    </xf>
    <xf numFmtId="0" fontId="2" fillId="3" borderId="1" xfId="0" applyFont="1" applyFill="1" applyBorder="1" applyAlignment="1">
      <alignment horizontal="center"/>
    </xf>
    <xf numFmtId="0" fontId="18" fillId="3" borderId="21" xfId="0" applyFont="1" applyFill="1" applyBorder="1" applyAlignment="1">
      <alignment horizontal="center"/>
    </xf>
    <xf numFmtId="0" fontId="18" fillId="3" borderId="1" xfId="0" applyFont="1" applyFill="1" applyBorder="1" applyAlignment="1">
      <alignment horizontal="center"/>
    </xf>
    <xf numFmtId="0" fontId="20" fillId="0" borderId="0" xfId="0" applyFont="1" applyBorder="1" applyAlignment="1">
      <alignment horizontal="center" vertical="top" wrapText="1"/>
    </xf>
    <xf numFmtId="0" fontId="18" fillId="3" borderId="0" xfId="0" applyFont="1" applyFill="1" applyBorder="1" applyAlignment="1">
      <alignment horizontal="center" vertical="top" wrapText="1"/>
    </xf>
    <xf numFmtId="0" fontId="2" fillId="3" borderId="0" xfId="0" applyFont="1" applyFill="1" applyAlignment="1">
      <alignment horizontal="center"/>
    </xf>
    <xf numFmtId="0" fontId="14" fillId="0" borderId="0" xfId="0" applyFont="1" applyAlignment="1">
      <alignment horizontal="left"/>
    </xf>
    <xf numFmtId="0" fontId="19" fillId="0" borderId="0" xfId="0" applyFont="1" applyAlignment="1">
      <alignment horizontal="left"/>
    </xf>
    <xf numFmtId="0" fontId="38" fillId="24" borderId="0" xfId="0" applyFont="1" applyFill="1" applyAlignment="1">
      <alignment horizontal="center"/>
    </xf>
    <xf numFmtId="0" fontId="38" fillId="14" borderId="0" xfId="0" applyFont="1" applyFill="1" applyAlignment="1">
      <alignment horizontal="center"/>
    </xf>
    <xf numFmtId="0" fontId="38" fillId="25" borderId="0" xfId="0" applyFont="1" applyFill="1" applyAlignment="1">
      <alignment horizontal="center"/>
    </xf>
    <xf numFmtId="0" fontId="38" fillId="26" borderId="0" xfId="0" applyFont="1" applyFill="1" applyAlignment="1">
      <alignment horizontal="center"/>
    </xf>
    <xf numFmtId="0" fontId="20" fillId="0" borderId="6" xfId="0" applyFont="1" applyBorder="1" applyAlignment="1">
      <alignment horizontal="center" vertical="top" wrapText="1"/>
    </xf>
    <xf numFmtId="0" fontId="2" fillId="3" borderId="26" xfId="0" applyFont="1" applyFill="1" applyBorder="1" applyAlignment="1">
      <alignment horizontal="right"/>
    </xf>
    <xf numFmtId="0" fontId="0" fillId="3" borderId="1" xfId="0" applyFill="1" applyBorder="1"/>
    <xf numFmtId="0" fontId="2" fillId="3" borderId="26" xfId="0" applyFont="1" applyFill="1" applyBorder="1" applyAlignment="1">
      <alignment horizontal="center"/>
    </xf>
    <xf numFmtId="0" fontId="4" fillId="0" borderId="0" xfId="0" applyFont="1" applyAlignment="1">
      <alignment horizontal="right"/>
    </xf>
    <xf numFmtId="0" fontId="4" fillId="0" borderId="0" xfId="0" applyFont="1" applyBorder="1" applyAlignment="1">
      <alignment horizontal="right"/>
    </xf>
    <xf numFmtId="0" fontId="4" fillId="0" borderId="0" xfId="0" applyFont="1" applyAlignment="1">
      <alignment horizontal="center"/>
    </xf>
    <xf numFmtId="0" fontId="18" fillId="22" borderId="21" xfId="0" applyFont="1" applyFill="1" applyBorder="1" applyAlignment="1">
      <alignment horizontal="center"/>
    </xf>
    <xf numFmtId="0" fontId="18" fillId="22" borderId="26" xfId="0" applyFont="1" applyFill="1" applyBorder="1" applyAlignment="1">
      <alignment horizontal="center"/>
    </xf>
    <xf numFmtId="0" fontId="18" fillId="22" borderId="1" xfId="0" applyFont="1" applyFill="1" applyBorder="1" applyAlignment="1">
      <alignment horizontal="center"/>
    </xf>
    <xf numFmtId="0" fontId="19" fillId="22" borderId="0" xfId="0" applyFont="1" applyFill="1" applyBorder="1" applyAlignment="1">
      <alignment horizontal="left"/>
    </xf>
    <xf numFmtId="0" fontId="22" fillId="12" borderId="10" xfId="0" applyFont="1" applyFill="1" applyBorder="1" applyAlignment="1" applyProtection="1">
      <alignment horizontal="center" vertical="top" wrapText="1"/>
    </xf>
    <xf numFmtId="0" fontId="22" fillId="12" borderId="0" xfId="0" applyFont="1" applyFill="1" applyBorder="1" applyAlignment="1" applyProtection="1">
      <alignment horizontal="center" vertical="top" wrapText="1"/>
    </xf>
    <xf numFmtId="0" fontId="22" fillId="12" borderId="6" xfId="0" applyFont="1" applyFill="1" applyBorder="1" applyAlignment="1" applyProtection="1">
      <alignment horizontal="center" vertical="top" wrapText="1"/>
    </xf>
    <xf numFmtId="0" fontId="22" fillId="12" borderId="7" xfId="0" applyFont="1" applyFill="1" applyBorder="1" applyAlignment="1" applyProtection="1">
      <alignment horizontal="center" vertical="top" wrapText="1"/>
    </xf>
    <xf numFmtId="0" fontId="22" fillId="12" borderId="8" xfId="0" applyFont="1" applyFill="1" applyBorder="1" applyAlignment="1" applyProtection="1">
      <alignment horizontal="center" vertical="top" wrapText="1"/>
    </xf>
    <xf numFmtId="0" fontId="22" fillId="12" borderId="9" xfId="0" applyFont="1" applyFill="1" applyBorder="1" applyAlignment="1" applyProtection="1">
      <alignment horizontal="center" vertical="top" wrapText="1"/>
    </xf>
    <xf numFmtId="0" fontId="19" fillId="26" borderId="21" xfId="0" applyFont="1" applyFill="1" applyBorder="1" applyAlignment="1" applyProtection="1">
      <alignment horizontal="center"/>
    </xf>
    <xf numFmtId="0" fontId="19" fillId="26" borderId="1" xfId="0" applyFont="1" applyFill="1" applyBorder="1" applyAlignment="1" applyProtection="1">
      <alignment horizontal="center"/>
    </xf>
    <xf numFmtId="164" fontId="19" fillId="19" borderId="3" xfId="0" applyNumberFormat="1" applyFont="1" applyFill="1" applyBorder="1" applyAlignment="1" applyProtection="1">
      <alignment horizontal="center" vertical="center"/>
    </xf>
    <xf numFmtId="164" fontId="19" fillId="19" borderId="7" xfId="0" applyNumberFormat="1" applyFont="1" applyFill="1" applyBorder="1" applyAlignment="1" applyProtection="1">
      <alignment horizontal="center" vertical="center"/>
    </xf>
    <xf numFmtId="0" fontId="19" fillId="16" borderId="10" xfId="0" applyFont="1" applyFill="1" applyBorder="1" applyAlignment="1" applyProtection="1">
      <alignment horizontal="center"/>
    </xf>
    <xf numFmtId="0" fontId="19" fillId="16" borderId="7" xfId="0" applyFont="1" applyFill="1" applyBorder="1" applyAlignment="1" applyProtection="1">
      <alignment horizontal="center"/>
    </xf>
    <xf numFmtId="0" fontId="2" fillId="17" borderId="21" xfId="0" applyFont="1" applyFill="1" applyBorder="1" applyAlignment="1">
      <alignment horizontal="center"/>
    </xf>
    <xf numFmtId="0" fontId="2" fillId="17" borderId="26" xfId="0" applyFont="1" applyFill="1" applyBorder="1" applyAlignment="1">
      <alignment horizontal="center"/>
    </xf>
    <xf numFmtId="0" fontId="2" fillId="17" borderId="1" xfId="0" applyFont="1" applyFill="1" applyBorder="1" applyAlignment="1">
      <alignment horizontal="center"/>
    </xf>
    <xf numFmtId="0" fontId="22" fillId="12" borderId="3" xfId="0" applyFont="1" applyFill="1" applyBorder="1" applyAlignment="1" applyProtection="1">
      <alignment horizontal="center" vertical="top" wrapText="1"/>
    </xf>
    <xf numFmtId="0" fontId="22" fillId="12" borderId="4" xfId="0" applyFont="1" applyFill="1" applyBorder="1" applyAlignment="1" applyProtection="1">
      <alignment horizontal="center" vertical="top" wrapText="1"/>
    </xf>
    <xf numFmtId="0" fontId="22" fillId="12" borderId="5" xfId="0" applyFont="1" applyFill="1" applyBorder="1" applyAlignment="1" applyProtection="1">
      <alignment horizontal="center" vertical="top" wrapText="1"/>
    </xf>
    <xf numFmtId="0" fontId="14" fillId="0" borderId="6" xfId="0" applyFont="1" applyBorder="1" applyAlignment="1">
      <alignment horizontal="left"/>
    </xf>
    <xf numFmtId="0" fontId="2" fillId="21" borderId="0" xfId="0" applyFont="1" applyFill="1" applyAlignment="1">
      <alignment horizontal="center"/>
    </xf>
    <xf numFmtId="0" fontId="2" fillId="0" borderId="0" xfId="0" applyFont="1" applyAlignment="1">
      <alignment horizontal="center"/>
    </xf>
  </cellXfs>
  <cellStyles count="3">
    <cellStyle name="Euro" xfId="1" xr:uid="{00000000-0005-0000-0000-000000000000}"/>
    <cellStyle name="Link" xfId="2" builtinId="8"/>
    <cellStyle name="Standard" xfId="0" builtinId="0"/>
  </cellStyles>
  <dxfs count="22">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52"/>
        </patternFill>
      </fill>
    </dxf>
    <dxf>
      <fill>
        <patternFill>
          <bgColor indexed="52"/>
        </patternFill>
      </fill>
    </dxf>
    <dxf>
      <font>
        <condense val="0"/>
        <extend val="0"/>
        <color indexed="8"/>
      </font>
      <border>
        <bottom style="thin">
          <color indexed="64"/>
        </bottom>
      </border>
    </dxf>
    <dxf>
      <font>
        <condense val="0"/>
        <extend val="0"/>
        <color indexed="8"/>
      </font>
      <border>
        <bottom style="thin">
          <color indexed="64"/>
        </bottom>
      </border>
    </dxf>
    <dxf>
      <font>
        <condense val="0"/>
        <extend val="0"/>
        <color indexed="8"/>
      </font>
      <border>
        <bottom style="thin">
          <color indexed="64"/>
        </bottom>
      </border>
    </dxf>
    <dxf>
      <font>
        <u val="none"/>
      </font>
      <border>
        <bottom style="thin">
          <color auto="1"/>
        </bottom>
      </border>
    </dxf>
    <dxf>
      <font>
        <condense val="0"/>
        <extend val="0"/>
        <color indexed="8"/>
      </font>
      <border>
        <bottom style="thin">
          <color indexed="64"/>
        </bottom>
      </border>
    </dxf>
    <dxf>
      <font>
        <condense val="0"/>
        <extend val="0"/>
        <color indexed="8"/>
      </font>
      <border>
        <bottom style="thin">
          <color indexed="64"/>
        </bottom>
      </border>
    </dxf>
    <dxf>
      <font>
        <condense val="0"/>
        <extend val="0"/>
        <color indexed="8"/>
      </font>
      <border>
        <bottom style="thin">
          <color indexed="64"/>
        </bottom>
      </border>
    </dxf>
    <dxf>
      <border>
        <left/>
        <right/>
        <top/>
        <bottom/>
      </border>
    </dxf>
  </dxfs>
  <tableStyles count="0" defaultTableStyle="TableStyleMedium9" defaultPivotStyle="PivotStyleLight16"/>
  <colors>
    <mruColors>
      <color rgb="FF001D4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3935357914445"/>
          <c:y val="0.23076923076923148"/>
          <c:w val="0.84262362530707868"/>
          <c:h val="0.61298076923076927"/>
        </c:manualLayout>
      </c:layout>
      <c:scatterChart>
        <c:scatterStyle val="lineMarker"/>
        <c:varyColors val="0"/>
        <c:ser>
          <c:idx val="0"/>
          <c:order val="0"/>
          <c:tx>
            <c:strRef>
              <c:f>Display!$P$3</c:f>
              <c:strCache>
                <c:ptCount val="1"/>
                <c:pt idx="0">
                  <c:v>20 MHz (m/Mbps)</c:v>
                </c:pt>
              </c:strCache>
            </c:strRef>
          </c:tx>
          <c:spPr>
            <a:ln w="12700">
              <a:solidFill>
                <a:srgbClr val="FF6600"/>
              </a:solidFill>
              <a:prstDash val="solid"/>
            </a:ln>
          </c:spPr>
          <c:marker>
            <c:symbol val="diamond"/>
            <c:size val="5"/>
            <c:spPr>
              <a:solidFill>
                <a:srgbClr val="FF6600"/>
              </a:solidFill>
              <a:ln>
                <a:solidFill>
                  <a:srgbClr val="FF6600"/>
                </a:solidFill>
                <a:prstDash val="solid"/>
              </a:ln>
            </c:spPr>
          </c:marker>
          <c:xVal>
            <c:numRef>
              <c:f>Display!$C$3:$C$453</c:f>
              <c:numCache>
                <c:formatCode>0.000</c:formatCode>
                <c:ptCount val="45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870.23653149570634</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616.08028388945922</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489.36996435034837</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275.19295426112899</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154.75237058225048</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122.92417734399675</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97.642144794591459</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69.125344785556663</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numCache>
            </c:numRef>
          </c:xVal>
          <c:yVal>
            <c:numRef>
              <c:f>Display!$B$3:$B$453</c:f>
              <c:numCache>
                <c:formatCode>General</c:formatCode>
                <c:ptCount val="4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numCache>
            </c:numRef>
          </c:yVal>
          <c:smooth val="0"/>
          <c:extLst>
            <c:ext xmlns:c16="http://schemas.microsoft.com/office/drawing/2014/chart" uri="{C3380CC4-5D6E-409C-BE32-E72D297353CC}">
              <c16:uniqueId val="{00000000-AC08-4B8B-BCC4-91DC3E258349}"/>
            </c:ext>
          </c:extLst>
        </c:ser>
        <c:ser>
          <c:idx val="1"/>
          <c:order val="1"/>
          <c:tx>
            <c:strRef>
              <c:f>Display!$P$4</c:f>
              <c:strCache>
                <c:ptCount val="1"/>
                <c:pt idx="0">
                  <c:v>40 MHz (m/Mbps)</c:v>
                </c:pt>
              </c:strCache>
            </c:strRef>
          </c:tx>
          <c:spPr>
            <a:ln w="12700">
              <a:solidFill>
                <a:srgbClr val="00B0F0"/>
              </a:solidFill>
              <a:prstDash val="solid"/>
            </a:ln>
          </c:spPr>
          <c:marker>
            <c:symbol val="square"/>
            <c:size val="5"/>
            <c:spPr>
              <a:solidFill>
                <a:srgbClr val="00B0F0"/>
              </a:solidFill>
              <a:ln>
                <a:solidFill>
                  <a:srgbClr val="00B0F0"/>
                </a:solidFill>
                <a:prstDash val="solid"/>
              </a:ln>
            </c:spPr>
          </c:marker>
          <c:xVal>
            <c:numRef>
              <c:f>Display!$D$3:$D$450</c:f>
              <c:numCache>
                <c:formatCode>0.000</c:formatCode>
                <c:ptCount val="4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976.421447945914</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775.59912509380547</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436.15143982172577</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245.26597865302801</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194.82169186138324</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154.75237058225048</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137.9231954598516</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numCache>
            </c:numRef>
          </c:xVal>
          <c:yVal>
            <c:numRef>
              <c:f>Display!$B$3:$B$450</c:f>
              <c:numCache>
                <c:formatCode>General</c:formatCode>
                <c:ptCount val="44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numCache>
            </c:numRef>
          </c:yVal>
          <c:smooth val="0"/>
          <c:extLst>
            <c:ext xmlns:c16="http://schemas.microsoft.com/office/drawing/2014/chart" uri="{C3380CC4-5D6E-409C-BE32-E72D297353CC}">
              <c16:uniqueId val="{00000001-AC08-4B8B-BCC4-91DC3E258349}"/>
            </c:ext>
          </c:extLst>
        </c:ser>
        <c:ser>
          <c:idx val="2"/>
          <c:order val="2"/>
          <c:tx>
            <c:strRef>
              <c:f>Display!$P$5</c:f>
              <c:strCache>
                <c:ptCount val="1"/>
                <c:pt idx="0">
                  <c:v>80 MHz (m/Mbps)</c:v>
                </c:pt>
              </c:strCache>
            </c:strRef>
          </c:tx>
          <c:xVal>
            <c:numRef>
              <c:f>Display!$E$3:$E$1736</c:f>
              <c:numCache>
                <c:formatCode>0.000</c:formatCode>
                <c:ptCount val="173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870.23653149570634</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691.25344785556547</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549.08213098218505</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346.44740326604517</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218.59353356680251</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122.92417734399675</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87.023653149570706</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87.023653149570706</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48.936996435034871</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30.877157317486262</c:v>
                </c:pt>
                <c:pt idx="1300">
                  <c:v>#N/A</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numCache>
            </c:numRef>
          </c:xVal>
          <c:yVal>
            <c:numRef>
              <c:f>Display!$B$3:$B$900</c:f>
              <c:numCache>
                <c:formatCode>General</c:formatCode>
                <c:ptCount val="89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numCache>
            </c:numRef>
          </c:yVal>
          <c:smooth val="0"/>
          <c:extLst>
            <c:ext xmlns:c16="http://schemas.microsoft.com/office/drawing/2014/chart" uri="{C3380CC4-5D6E-409C-BE32-E72D297353CC}">
              <c16:uniqueId val="{00000002-AC08-4B8B-BCC4-91DC3E258349}"/>
            </c:ext>
          </c:extLst>
        </c:ser>
        <c:ser>
          <c:idx val="3"/>
          <c:order val="3"/>
          <c:tx>
            <c:strRef>
              <c:f>Display!$Q$3</c:f>
              <c:strCache>
                <c:ptCount val="1"/>
                <c:pt idx="0">
                  <c:v>160 MHz (m/Mbps)</c:v>
                </c:pt>
              </c:strCache>
            </c:strRef>
          </c:tx>
          <c:spPr>
            <a:ln>
              <a:solidFill>
                <a:schemeClr val="accent1">
                  <a:lumMod val="40000"/>
                  <a:lumOff val="60000"/>
                </a:schemeClr>
              </a:solidFill>
            </a:ln>
          </c:spPr>
          <c:marker>
            <c:symbol val="circle"/>
            <c:size val="7"/>
            <c:spPr>
              <a:solidFill>
                <a:schemeClr val="accent1">
                  <a:lumMod val="40000"/>
                  <a:lumOff val="60000"/>
                </a:schemeClr>
              </a:solidFill>
              <a:ln>
                <a:solidFill>
                  <a:schemeClr val="accent1">
                    <a:lumMod val="40000"/>
                    <a:lumOff val="60000"/>
                  </a:schemeClr>
                </a:solidFill>
              </a:ln>
            </c:spPr>
          </c:marker>
          <c:xVal>
            <c:numRef>
              <c:f>Display!$F$3:$F$1736</c:f>
              <c:numCache>
                <c:formatCode>0.000</c:formatCode>
                <c:ptCount val="1734"/>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3.8872037990949677E-5</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3.8872037990949677E-5</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3.4644740326604493E-5</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3.4644740326604493E-5</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3.0877157317486264E-5</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3.0877157317486264E-5</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2.7519295426112869E-5</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2.7519295426112869E-5</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pt idx="1000">
                  <c:v>#N/A</c:v>
                </c:pt>
                <c:pt idx="1001">
                  <c:v>#N/A</c:v>
                </c:pt>
                <c:pt idx="1002">
                  <c:v>#N/A</c:v>
                </c:pt>
                <c:pt idx="1003">
                  <c:v>#N/A</c:v>
                </c:pt>
                <c:pt idx="1004">
                  <c:v>#N/A</c:v>
                </c:pt>
                <c:pt idx="1005">
                  <c:v>#N/A</c:v>
                </c:pt>
                <c:pt idx="1006">
                  <c:v>#N/A</c:v>
                </c:pt>
                <c:pt idx="1007">
                  <c:v>#N/A</c:v>
                </c:pt>
                <c:pt idx="1008">
                  <c:v>#N/A</c:v>
                </c:pt>
                <c:pt idx="1009">
                  <c:v>#N/A</c:v>
                </c:pt>
                <c:pt idx="1010">
                  <c:v>#N/A</c:v>
                </c:pt>
                <c:pt idx="1011">
                  <c:v>#N/A</c:v>
                </c:pt>
                <c:pt idx="1012">
                  <c:v>#N/A</c:v>
                </c:pt>
                <c:pt idx="1013">
                  <c:v>#N/A</c:v>
                </c:pt>
                <c:pt idx="1014">
                  <c:v>#N/A</c:v>
                </c:pt>
                <c:pt idx="1015">
                  <c:v>#N/A</c:v>
                </c:pt>
                <c:pt idx="1016">
                  <c:v>#N/A</c:v>
                </c:pt>
                <c:pt idx="1017">
                  <c:v>#N/A</c:v>
                </c:pt>
                <c:pt idx="1018">
                  <c:v>#N/A</c:v>
                </c:pt>
                <c:pt idx="1019">
                  <c:v>#N/A</c:v>
                </c:pt>
                <c:pt idx="1020">
                  <c:v>#N/A</c:v>
                </c:pt>
                <c:pt idx="1021">
                  <c:v>#N/A</c:v>
                </c:pt>
                <c:pt idx="1022">
                  <c:v>#N/A</c:v>
                </c:pt>
                <c:pt idx="1023">
                  <c:v>#N/A</c:v>
                </c:pt>
                <c:pt idx="1024">
                  <c:v>#N/A</c:v>
                </c:pt>
                <c:pt idx="1025">
                  <c:v>#N/A</c:v>
                </c:pt>
                <c:pt idx="1026">
                  <c:v>#N/A</c:v>
                </c:pt>
                <c:pt idx="1027">
                  <c:v>#N/A</c:v>
                </c:pt>
                <c:pt idx="1028">
                  <c:v>#N/A</c:v>
                </c:pt>
                <c:pt idx="1029">
                  <c:v>#N/A</c:v>
                </c:pt>
                <c:pt idx="1030">
                  <c:v>#N/A</c:v>
                </c:pt>
                <c:pt idx="1031">
                  <c:v>#N/A</c:v>
                </c:pt>
                <c:pt idx="1032">
                  <c:v>#N/A</c:v>
                </c:pt>
                <c:pt idx="1033">
                  <c:v>#N/A</c:v>
                </c:pt>
                <c:pt idx="1034">
                  <c:v>#N/A</c:v>
                </c:pt>
                <c:pt idx="1035">
                  <c:v>#N/A</c:v>
                </c:pt>
                <c:pt idx="1036">
                  <c:v>#N/A</c:v>
                </c:pt>
                <c:pt idx="1037">
                  <c:v>#N/A</c:v>
                </c:pt>
                <c:pt idx="1038">
                  <c:v>#N/A</c:v>
                </c:pt>
                <c:pt idx="1039">
                  <c:v>#N/A</c:v>
                </c:pt>
                <c:pt idx="1040">
                  <c:v>#N/A</c:v>
                </c:pt>
                <c:pt idx="1041">
                  <c:v>#N/A</c:v>
                </c:pt>
                <c:pt idx="1042">
                  <c:v>#N/A</c:v>
                </c:pt>
                <c:pt idx="1043">
                  <c:v>#N/A</c:v>
                </c:pt>
                <c:pt idx="1044">
                  <c:v>#N/A</c:v>
                </c:pt>
                <c:pt idx="1045">
                  <c:v>#N/A</c:v>
                </c:pt>
                <c:pt idx="1046">
                  <c:v>#N/A</c:v>
                </c:pt>
                <c:pt idx="1047">
                  <c:v>#N/A</c:v>
                </c:pt>
                <c:pt idx="1048">
                  <c:v>#N/A</c:v>
                </c:pt>
                <c:pt idx="1049">
                  <c:v>#N/A</c:v>
                </c:pt>
                <c:pt idx="1050">
                  <c:v>#N/A</c:v>
                </c:pt>
                <c:pt idx="1051">
                  <c:v>#N/A</c:v>
                </c:pt>
                <c:pt idx="1052">
                  <c:v>#N/A</c:v>
                </c:pt>
                <c:pt idx="1053">
                  <c:v>#N/A</c:v>
                </c:pt>
                <c:pt idx="1054">
                  <c:v>#N/A</c:v>
                </c:pt>
                <c:pt idx="1055">
                  <c:v>#N/A</c:v>
                </c:pt>
                <c:pt idx="1056">
                  <c:v>#N/A</c:v>
                </c:pt>
                <c:pt idx="1057">
                  <c:v>#N/A</c:v>
                </c:pt>
                <c:pt idx="1058">
                  <c:v>#N/A</c:v>
                </c:pt>
                <c:pt idx="1059">
                  <c:v>#N/A</c:v>
                </c:pt>
                <c:pt idx="1060">
                  <c:v>#N/A</c:v>
                </c:pt>
                <c:pt idx="1061">
                  <c:v>#N/A</c:v>
                </c:pt>
                <c:pt idx="1062">
                  <c:v>#N/A</c:v>
                </c:pt>
                <c:pt idx="1063">
                  <c:v>#N/A</c:v>
                </c:pt>
                <c:pt idx="1064">
                  <c:v>#N/A</c:v>
                </c:pt>
                <c:pt idx="1065">
                  <c:v>#N/A</c:v>
                </c:pt>
                <c:pt idx="1066">
                  <c:v>#N/A</c:v>
                </c:pt>
                <c:pt idx="1067">
                  <c:v>#N/A</c:v>
                </c:pt>
                <c:pt idx="1068">
                  <c:v>#N/A</c:v>
                </c:pt>
                <c:pt idx="1069">
                  <c:v>#N/A</c:v>
                </c:pt>
                <c:pt idx="1070">
                  <c:v>#N/A</c:v>
                </c:pt>
                <c:pt idx="1071">
                  <c:v>#N/A</c:v>
                </c:pt>
                <c:pt idx="1072">
                  <c:v>#N/A</c:v>
                </c:pt>
                <c:pt idx="1073">
                  <c:v>#N/A</c:v>
                </c:pt>
                <c:pt idx="1074">
                  <c:v>#N/A</c:v>
                </c:pt>
                <c:pt idx="1075">
                  <c:v>#N/A</c:v>
                </c:pt>
                <c:pt idx="1076">
                  <c:v>#N/A</c:v>
                </c:pt>
                <c:pt idx="1077">
                  <c:v>#N/A</c:v>
                </c:pt>
                <c:pt idx="1078">
                  <c:v>#N/A</c:v>
                </c:pt>
                <c:pt idx="1079">
                  <c:v>#N/A</c:v>
                </c:pt>
                <c:pt idx="1080">
                  <c:v>#N/A</c:v>
                </c:pt>
                <c:pt idx="1081">
                  <c:v>#N/A</c:v>
                </c:pt>
                <c:pt idx="1082">
                  <c:v>#N/A</c:v>
                </c:pt>
                <c:pt idx="1083">
                  <c:v>#N/A</c:v>
                </c:pt>
                <c:pt idx="1084">
                  <c:v>#N/A</c:v>
                </c:pt>
                <c:pt idx="1085">
                  <c:v>#N/A</c:v>
                </c:pt>
                <c:pt idx="1086">
                  <c:v>#N/A</c:v>
                </c:pt>
                <c:pt idx="1087">
                  <c:v>#N/A</c:v>
                </c:pt>
                <c:pt idx="1088">
                  <c:v>#N/A</c:v>
                </c:pt>
                <c:pt idx="1089">
                  <c:v>#N/A</c:v>
                </c:pt>
                <c:pt idx="1090">
                  <c:v>#N/A</c:v>
                </c:pt>
                <c:pt idx="1091">
                  <c:v>#N/A</c:v>
                </c:pt>
                <c:pt idx="1092">
                  <c:v>#N/A</c:v>
                </c:pt>
                <c:pt idx="1093">
                  <c:v>#N/A</c:v>
                </c:pt>
                <c:pt idx="1094">
                  <c:v>#N/A</c:v>
                </c:pt>
                <c:pt idx="1095">
                  <c:v>#N/A</c:v>
                </c:pt>
                <c:pt idx="1096">
                  <c:v>#N/A</c:v>
                </c:pt>
                <c:pt idx="1097">
                  <c:v>#N/A</c:v>
                </c:pt>
                <c:pt idx="1098">
                  <c:v>#N/A</c:v>
                </c:pt>
                <c:pt idx="1099">
                  <c:v>#N/A</c:v>
                </c:pt>
                <c:pt idx="1100">
                  <c:v>#N/A</c:v>
                </c:pt>
                <c:pt idx="1101">
                  <c:v>#N/A</c:v>
                </c:pt>
                <c:pt idx="1102">
                  <c:v>#N/A</c:v>
                </c:pt>
                <c:pt idx="1103">
                  <c:v>#N/A</c:v>
                </c:pt>
                <c:pt idx="1104">
                  <c:v>#N/A</c:v>
                </c:pt>
                <c:pt idx="1105">
                  <c:v>#N/A</c:v>
                </c:pt>
                <c:pt idx="1106">
                  <c:v>#N/A</c:v>
                </c:pt>
                <c:pt idx="1107">
                  <c:v>#N/A</c:v>
                </c:pt>
                <c:pt idx="1108">
                  <c:v>#N/A</c:v>
                </c:pt>
                <c:pt idx="1109">
                  <c:v>#N/A</c:v>
                </c:pt>
                <c:pt idx="1110">
                  <c:v>#N/A</c:v>
                </c:pt>
                <c:pt idx="1111">
                  <c:v>#N/A</c:v>
                </c:pt>
                <c:pt idx="1112">
                  <c:v>#N/A</c:v>
                </c:pt>
                <c:pt idx="1113">
                  <c:v>#N/A</c:v>
                </c:pt>
                <c:pt idx="1114">
                  <c:v>#N/A</c:v>
                </c:pt>
                <c:pt idx="1115">
                  <c:v>#N/A</c:v>
                </c:pt>
                <c:pt idx="1116">
                  <c:v>#N/A</c:v>
                </c:pt>
                <c:pt idx="1117">
                  <c:v>#N/A</c:v>
                </c:pt>
                <c:pt idx="1118">
                  <c:v>#N/A</c:v>
                </c:pt>
                <c:pt idx="1119">
                  <c:v>#N/A</c:v>
                </c:pt>
                <c:pt idx="1120">
                  <c:v>#N/A</c:v>
                </c:pt>
                <c:pt idx="1121">
                  <c:v>#N/A</c:v>
                </c:pt>
                <c:pt idx="1122">
                  <c:v>#N/A</c:v>
                </c:pt>
                <c:pt idx="1123">
                  <c:v>#N/A</c:v>
                </c:pt>
                <c:pt idx="1124">
                  <c:v>#N/A</c:v>
                </c:pt>
                <c:pt idx="1125">
                  <c:v>#N/A</c:v>
                </c:pt>
                <c:pt idx="1126">
                  <c:v>#N/A</c:v>
                </c:pt>
                <c:pt idx="1127">
                  <c:v>#N/A</c:v>
                </c:pt>
                <c:pt idx="1128">
                  <c:v>#N/A</c:v>
                </c:pt>
                <c:pt idx="1129">
                  <c:v>#N/A</c:v>
                </c:pt>
                <c:pt idx="1130">
                  <c:v>#N/A</c:v>
                </c:pt>
                <c:pt idx="1131">
                  <c:v>#N/A</c:v>
                </c:pt>
                <c:pt idx="1132">
                  <c:v>#N/A</c:v>
                </c:pt>
                <c:pt idx="1133">
                  <c:v>#N/A</c:v>
                </c:pt>
                <c:pt idx="1134">
                  <c:v>#N/A</c:v>
                </c:pt>
                <c:pt idx="1135">
                  <c:v>#N/A</c:v>
                </c:pt>
                <c:pt idx="1136">
                  <c:v>#N/A</c:v>
                </c:pt>
                <c:pt idx="1137">
                  <c:v>#N/A</c:v>
                </c:pt>
                <c:pt idx="1138">
                  <c:v>#N/A</c:v>
                </c:pt>
                <c:pt idx="1139">
                  <c:v>#N/A</c:v>
                </c:pt>
                <c:pt idx="1140">
                  <c:v>#N/A</c:v>
                </c:pt>
                <c:pt idx="1141">
                  <c:v>#N/A</c:v>
                </c:pt>
                <c:pt idx="1142">
                  <c:v>#N/A</c:v>
                </c:pt>
                <c:pt idx="1143">
                  <c:v>#N/A</c:v>
                </c:pt>
                <c:pt idx="1144">
                  <c:v>#N/A</c:v>
                </c:pt>
                <c:pt idx="1145">
                  <c:v>#N/A</c:v>
                </c:pt>
                <c:pt idx="1146">
                  <c:v>#N/A</c:v>
                </c:pt>
                <c:pt idx="1147">
                  <c:v>#N/A</c:v>
                </c:pt>
                <c:pt idx="1148">
                  <c:v>#N/A</c:v>
                </c:pt>
                <c:pt idx="1149">
                  <c:v>#N/A</c:v>
                </c:pt>
                <c:pt idx="1150">
                  <c:v>#N/A</c:v>
                </c:pt>
                <c:pt idx="1151">
                  <c:v>#N/A</c:v>
                </c:pt>
                <c:pt idx="1152">
                  <c:v>#N/A</c:v>
                </c:pt>
                <c:pt idx="1153">
                  <c:v>#N/A</c:v>
                </c:pt>
                <c:pt idx="1154">
                  <c:v>#N/A</c:v>
                </c:pt>
                <c:pt idx="1155">
                  <c:v>#N/A</c:v>
                </c:pt>
                <c:pt idx="1156">
                  <c:v>#N/A</c:v>
                </c:pt>
                <c:pt idx="1157">
                  <c:v>#N/A</c:v>
                </c:pt>
                <c:pt idx="1158">
                  <c:v>#N/A</c:v>
                </c:pt>
                <c:pt idx="1159">
                  <c:v>#N/A</c:v>
                </c:pt>
                <c:pt idx="1160">
                  <c:v>#N/A</c:v>
                </c:pt>
                <c:pt idx="1161">
                  <c:v>#N/A</c:v>
                </c:pt>
                <c:pt idx="1162">
                  <c:v>#N/A</c:v>
                </c:pt>
                <c:pt idx="1163">
                  <c:v>#N/A</c:v>
                </c:pt>
                <c:pt idx="1164">
                  <c:v>#N/A</c:v>
                </c:pt>
                <c:pt idx="1165">
                  <c:v>#N/A</c:v>
                </c:pt>
                <c:pt idx="1166">
                  <c:v>#N/A</c:v>
                </c:pt>
                <c:pt idx="1167">
                  <c:v>#N/A</c:v>
                </c:pt>
                <c:pt idx="1168">
                  <c:v>#N/A</c:v>
                </c:pt>
                <c:pt idx="1169">
                  <c:v>#N/A</c:v>
                </c:pt>
                <c:pt idx="1170">
                  <c:v>2.4526597865302789E-5</c:v>
                </c:pt>
                <c:pt idx="1171">
                  <c:v>#N/A</c:v>
                </c:pt>
                <c:pt idx="1172">
                  <c:v>#N/A</c:v>
                </c:pt>
                <c:pt idx="1173">
                  <c:v>#N/A</c:v>
                </c:pt>
                <c:pt idx="1174">
                  <c:v>#N/A</c:v>
                </c:pt>
                <c:pt idx="1175">
                  <c:v>#N/A</c:v>
                </c:pt>
                <c:pt idx="1176">
                  <c:v>#N/A</c:v>
                </c:pt>
                <c:pt idx="1177">
                  <c:v>#N/A</c:v>
                </c:pt>
                <c:pt idx="1178">
                  <c:v>#N/A</c:v>
                </c:pt>
                <c:pt idx="1179">
                  <c:v>#N/A</c:v>
                </c:pt>
                <c:pt idx="1180">
                  <c:v>#N/A</c:v>
                </c:pt>
                <c:pt idx="1181">
                  <c:v>#N/A</c:v>
                </c:pt>
                <c:pt idx="1182">
                  <c:v>#N/A</c:v>
                </c:pt>
                <c:pt idx="1183">
                  <c:v>#N/A</c:v>
                </c:pt>
                <c:pt idx="1184">
                  <c:v>#N/A</c:v>
                </c:pt>
                <c:pt idx="1185">
                  <c:v>#N/A</c:v>
                </c:pt>
                <c:pt idx="1186">
                  <c:v>#N/A</c:v>
                </c:pt>
                <c:pt idx="1187">
                  <c:v>#N/A</c:v>
                </c:pt>
                <c:pt idx="1188">
                  <c:v>#N/A</c:v>
                </c:pt>
                <c:pt idx="1189">
                  <c:v>#N/A</c:v>
                </c:pt>
                <c:pt idx="1190">
                  <c:v>#N/A</c:v>
                </c:pt>
                <c:pt idx="1191">
                  <c:v>#N/A</c:v>
                </c:pt>
                <c:pt idx="1192">
                  <c:v>#N/A</c:v>
                </c:pt>
                <c:pt idx="1193">
                  <c:v>#N/A</c:v>
                </c:pt>
                <c:pt idx="1194">
                  <c:v>#N/A</c:v>
                </c:pt>
                <c:pt idx="1195">
                  <c:v>#N/A</c:v>
                </c:pt>
                <c:pt idx="1196">
                  <c:v>#N/A</c:v>
                </c:pt>
                <c:pt idx="1197">
                  <c:v>#N/A</c:v>
                </c:pt>
                <c:pt idx="1198">
                  <c:v>#N/A</c:v>
                </c:pt>
                <c:pt idx="1199">
                  <c:v>#N/A</c:v>
                </c:pt>
                <c:pt idx="1200">
                  <c:v>#N/A</c:v>
                </c:pt>
                <c:pt idx="1201">
                  <c:v>#N/A</c:v>
                </c:pt>
                <c:pt idx="1202">
                  <c:v>#N/A</c:v>
                </c:pt>
                <c:pt idx="1203">
                  <c:v>#N/A</c:v>
                </c:pt>
                <c:pt idx="1204">
                  <c:v>#N/A</c:v>
                </c:pt>
                <c:pt idx="1205">
                  <c:v>#N/A</c:v>
                </c:pt>
                <c:pt idx="1206">
                  <c:v>#N/A</c:v>
                </c:pt>
                <c:pt idx="1207">
                  <c:v>#N/A</c:v>
                </c:pt>
                <c:pt idx="1208">
                  <c:v>#N/A</c:v>
                </c:pt>
                <c:pt idx="1209">
                  <c:v>#N/A</c:v>
                </c:pt>
                <c:pt idx="1210">
                  <c:v>#N/A</c:v>
                </c:pt>
                <c:pt idx="1211">
                  <c:v>#N/A</c:v>
                </c:pt>
                <c:pt idx="1212">
                  <c:v>#N/A</c:v>
                </c:pt>
                <c:pt idx="1213">
                  <c:v>#N/A</c:v>
                </c:pt>
                <c:pt idx="1214">
                  <c:v>#N/A</c:v>
                </c:pt>
                <c:pt idx="1215">
                  <c:v>#N/A</c:v>
                </c:pt>
                <c:pt idx="1216">
                  <c:v>#N/A</c:v>
                </c:pt>
                <c:pt idx="1217">
                  <c:v>#N/A</c:v>
                </c:pt>
                <c:pt idx="1218">
                  <c:v>#N/A</c:v>
                </c:pt>
                <c:pt idx="1219">
                  <c:v>#N/A</c:v>
                </c:pt>
                <c:pt idx="1220">
                  <c:v>#N/A</c:v>
                </c:pt>
                <c:pt idx="1221">
                  <c:v>#N/A</c:v>
                </c:pt>
                <c:pt idx="1222">
                  <c:v>#N/A</c:v>
                </c:pt>
                <c:pt idx="1223">
                  <c:v>#N/A</c:v>
                </c:pt>
                <c:pt idx="1224">
                  <c:v>#N/A</c:v>
                </c:pt>
                <c:pt idx="1225">
                  <c:v>#N/A</c:v>
                </c:pt>
                <c:pt idx="1226">
                  <c:v>#N/A</c:v>
                </c:pt>
                <c:pt idx="1227">
                  <c:v>#N/A</c:v>
                </c:pt>
                <c:pt idx="1228">
                  <c:v>#N/A</c:v>
                </c:pt>
                <c:pt idx="1229">
                  <c:v>#N/A</c:v>
                </c:pt>
                <c:pt idx="1230">
                  <c:v>#N/A</c:v>
                </c:pt>
                <c:pt idx="1231">
                  <c:v>#N/A</c:v>
                </c:pt>
                <c:pt idx="1232">
                  <c:v>#N/A</c:v>
                </c:pt>
                <c:pt idx="1233">
                  <c:v>#N/A</c:v>
                </c:pt>
                <c:pt idx="1234">
                  <c:v>#N/A</c:v>
                </c:pt>
                <c:pt idx="1235">
                  <c:v>#N/A</c:v>
                </c:pt>
                <c:pt idx="1236">
                  <c:v>#N/A</c:v>
                </c:pt>
                <c:pt idx="1237">
                  <c:v>#N/A</c:v>
                </c:pt>
                <c:pt idx="1238">
                  <c:v>#N/A</c:v>
                </c:pt>
                <c:pt idx="1239">
                  <c:v>#N/A</c:v>
                </c:pt>
                <c:pt idx="1240">
                  <c:v>#N/A</c:v>
                </c:pt>
                <c:pt idx="1241">
                  <c:v>#N/A</c:v>
                </c:pt>
                <c:pt idx="1242">
                  <c:v>#N/A</c:v>
                </c:pt>
                <c:pt idx="1243">
                  <c:v>#N/A</c:v>
                </c:pt>
                <c:pt idx="1244">
                  <c:v>#N/A</c:v>
                </c:pt>
                <c:pt idx="1245">
                  <c:v>#N/A</c:v>
                </c:pt>
                <c:pt idx="1246">
                  <c:v>#N/A</c:v>
                </c:pt>
                <c:pt idx="1247">
                  <c:v>#N/A</c:v>
                </c:pt>
                <c:pt idx="1248">
                  <c:v>#N/A</c:v>
                </c:pt>
                <c:pt idx="1249">
                  <c:v>#N/A</c:v>
                </c:pt>
                <c:pt idx="1250">
                  <c:v>#N/A</c:v>
                </c:pt>
                <c:pt idx="1251">
                  <c:v>#N/A</c:v>
                </c:pt>
                <c:pt idx="1252">
                  <c:v>#N/A</c:v>
                </c:pt>
                <c:pt idx="1253">
                  <c:v>#N/A</c:v>
                </c:pt>
                <c:pt idx="1254">
                  <c:v>#N/A</c:v>
                </c:pt>
                <c:pt idx="1255">
                  <c:v>#N/A</c:v>
                </c:pt>
                <c:pt idx="1256">
                  <c:v>#N/A</c:v>
                </c:pt>
                <c:pt idx="1257">
                  <c:v>#N/A</c:v>
                </c:pt>
                <c:pt idx="1258">
                  <c:v>#N/A</c:v>
                </c:pt>
                <c:pt idx="1259">
                  <c:v>#N/A</c:v>
                </c:pt>
                <c:pt idx="1260">
                  <c:v>#N/A</c:v>
                </c:pt>
                <c:pt idx="1261">
                  <c:v>#N/A</c:v>
                </c:pt>
                <c:pt idx="1262">
                  <c:v>#N/A</c:v>
                </c:pt>
                <c:pt idx="1263">
                  <c:v>#N/A</c:v>
                </c:pt>
                <c:pt idx="1264">
                  <c:v>#N/A</c:v>
                </c:pt>
                <c:pt idx="1265">
                  <c:v>#N/A</c:v>
                </c:pt>
                <c:pt idx="1266">
                  <c:v>#N/A</c:v>
                </c:pt>
                <c:pt idx="1267">
                  <c:v>#N/A</c:v>
                </c:pt>
                <c:pt idx="1268">
                  <c:v>#N/A</c:v>
                </c:pt>
                <c:pt idx="1269">
                  <c:v>#N/A</c:v>
                </c:pt>
                <c:pt idx="1270">
                  <c:v>#N/A</c:v>
                </c:pt>
                <c:pt idx="1271">
                  <c:v>#N/A</c:v>
                </c:pt>
                <c:pt idx="1272">
                  <c:v>#N/A</c:v>
                </c:pt>
                <c:pt idx="1273">
                  <c:v>#N/A</c:v>
                </c:pt>
                <c:pt idx="1274">
                  <c:v>#N/A</c:v>
                </c:pt>
                <c:pt idx="1275">
                  <c:v>#N/A</c:v>
                </c:pt>
                <c:pt idx="1276">
                  <c:v>#N/A</c:v>
                </c:pt>
                <c:pt idx="1277">
                  <c:v>#N/A</c:v>
                </c:pt>
                <c:pt idx="1278">
                  <c:v>#N/A</c:v>
                </c:pt>
                <c:pt idx="1279">
                  <c:v>#N/A</c:v>
                </c:pt>
                <c:pt idx="1280">
                  <c:v>#N/A</c:v>
                </c:pt>
                <c:pt idx="1281">
                  <c:v>#N/A</c:v>
                </c:pt>
                <c:pt idx="1282">
                  <c:v>#N/A</c:v>
                </c:pt>
                <c:pt idx="1283">
                  <c:v>#N/A</c:v>
                </c:pt>
                <c:pt idx="1284">
                  <c:v>#N/A</c:v>
                </c:pt>
                <c:pt idx="1285">
                  <c:v>#N/A</c:v>
                </c:pt>
                <c:pt idx="1286">
                  <c:v>#N/A</c:v>
                </c:pt>
                <c:pt idx="1287">
                  <c:v>#N/A</c:v>
                </c:pt>
                <c:pt idx="1288">
                  <c:v>#N/A</c:v>
                </c:pt>
                <c:pt idx="1289">
                  <c:v>#N/A</c:v>
                </c:pt>
                <c:pt idx="1290">
                  <c:v>#N/A</c:v>
                </c:pt>
                <c:pt idx="1291">
                  <c:v>#N/A</c:v>
                </c:pt>
                <c:pt idx="1292">
                  <c:v>#N/A</c:v>
                </c:pt>
                <c:pt idx="1293">
                  <c:v>#N/A</c:v>
                </c:pt>
                <c:pt idx="1294">
                  <c:v>#N/A</c:v>
                </c:pt>
                <c:pt idx="1295">
                  <c:v>#N/A</c:v>
                </c:pt>
                <c:pt idx="1296">
                  <c:v>#N/A</c:v>
                </c:pt>
                <c:pt idx="1297">
                  <c:v>#N/A</c:v>
                </c:pt>
                <c:pt idx="1298">
                  <c:v>#N/A</c:v>
                </c:pt>
                <c:pt idx="1299">
                  <c:v>#N/A</c:v>
                </c:pt>
                <c:pt idx="1300">
                  <c:v>2.1859353356680235E-5</c:v>
                </c:pt>
                <c:pt idx="1301">
                  <c:v>#N/A</c:v>
                </c:pt>
                <c:pt idx="1302">
                  <c:v>#N/A</c:v>
                </c:pt>
                <c:pt idx="1303">
                  <c:v>#N/A</c:v>
                </c:pt>
                <c:pt idx="1304">
                  <c:v>#N/A</c:v>
                </c:pt>
                <c:pt idx="1305">
                  <c:v>#N/A</c:v>
                </c:pt>
                <c:pt idx="1306">
                  <c:v>#N/A</c:v>
                </c:pt>
                <c:pt idx="1307">
                  <c:v>#N/A</c:v>
                </c:pt>
                <c:pt idx="1308">
                  <c:v>#N/A</c:v>
                </c:pt>
                <c:pt idx="1309">
                  <c:v>#N/A</c:v>
                </c:pt>
                <c:pt idx="1310">
                  <c:v>#N/A</c:v>
                </c:pt>
                <c:pt idx="1311">
                  <c:v>#N/A</c:v>
                </c:pt>
                <c:pt idx="1312">
                  <c:v>#N/A</c:v>
                </c:pt>
                <c:pt idx="1313">
                  <c:v>#N/A</c:v>
                </c:pt>
                <c:pt idx="1314">
                  <c:v>#N/A</c:v>
                </c:pt>
                <c:pt idx="1315">
                  <c:v>#N/A</c:v>
                </c:pt>
                <c:pt idx="1316">
                  <c:v>#N/A</c:v>
                </c:pt>
                <c:pt idx="1317">
                  <c:v>#N/A</c:v>
                </c:pt>
                <c:pt idx="1318">
                  <c:v>#N/A</c:v>
                </c:pt>
                <c:pt idx="1319">
                  <c:v>#N/A</c:v>
                </c:pt>
                <c:pt idx="1320">
                  <c:v>#N/A</c:v>
                </c:pt>
                <c:pt idx="1321">
                  <c:v>#N/A</c:v>
                </c:pt>
                <c:pt idx="1322">
                  <c:v>#N/A</c:v>
                </c:pt>
                <c:pt idx="1323">
                  <c:v>#N/A</c:v>
                </c:pt>
                <c:pt idx="1324">
                  <c:v>#N/A</c:v>
                </c:pt>
                <c:pt idx="1325">
                  <c:v>#N/A</c:v>
                </c:pt>
                <c:pt idx="1326">
                  <c:v>#N/A</c:v>
                </c:pt>
                <c:pt idx="1327">
                  <c:v>#N/A</c:v>
                </c:pt>
                <c:pt idx="1328">
                  <c:v>#N/A</c:v>
                </c:pt>
                <c:pt idx="1329">
                  <c:v>#N/A</c:v>
                </c:pt>
                <c:pt idx="1330">
                  <c:v>#N/A</c:v>
                </c:pt>
                <c:pt idx="1331">
                  <c:v>#N/A</c:v>
                </c:pt>
                <c:pt idx="1332">
                  <c:v>#N/A</c:v>
                </c:pt>
                <c:pt idx="1333">
                  <c:v>#N/A</c:v>
                </c:pt>
                <c:pt idx="1334">
                  <c:v>#N/A</c:v>
                </c:pt>
                <c:pt idx="1335">
                  <c:v>#N/A</c:v>
                </c:pt>
                <c:pt idx="1336">
                  <c:v>#N/A</c:v>
                </c:pt>
                <c:pt idx="1337">
                  <c:v>#N/A</c:v>
                </c:pt>
                <c:pt idx="1338">
                  <c:v>#N/A</c:v>
                </c:pt>
                <c:pt idx="1339">
                  <c:v>#N/A</c:v>
                </c:pt>
                <c:pt idx="1340">
                  <c:v>#N/A</c:v>
                </c:pt>
                <c:pt idx="1341">
                  <c:v>#N/A</c:v>
                </c:pt>
                <c:pt idx="1342">
                  <c:v>#N/A</c:v>
                </c:pt>
                <c:pt idx="1343">
                  <c:v>#N/A</c:v>
                </c:pt>
                <c:pt idx="1344">
                  <c:v>#N/A</c:v>
                </c:pt>
                <c:pt idx="1345">
                  <c:v>#N/A</c:v>
                </c:pt>
                <c:pt idx="1346">
                  <c:v>#N/A</c:v>
                </c:pt>
                <c:pt idx="1347">
                  <c:v>#N/A</c:v>
                </c:pt>
                <c:pt idx="1348">
                  <c:v>#N/A</c:v>
                </c:pt>
                <c:pt idx="1349">
                  <c:v>#N/A</c:v>
                </c:pt>
                <c:pt idx="1350">
                  <c:v>#N/A</c:v>
                </c:pt>
                <c:pt idx="1351">
                  <c:v>#N/A</c:v>
                </c:pt>
                <c:pt idx="1352">
                  <c:v>#N/A</c:v>
                </c:pt>
                <c:pt idx="1353">
                  <c:v>#N/A</c:v>
                </c:pt>
                <c:pt idx="1354">
                  <c:v>#N/A</c:v>
                </c:pt>
                <c:pt idx="1355">
                  <c:v>#N/A</c:v>
                </c:pt>
                <c:pt idx="1356">
                  <c:v>#N/A</c:v>
                </c:pt>
                <c:pt idx="1357">
                  <c:v>#N/A</c:v>
                </c:pt>
                <c:pt idx="1358">
                  <c:v>#N/A</c:v>
                </c:pt>
                <c:pt idx="1359">
                  <c:v>#N/A</c:v>
                </c:pt>
                <c:pt idx="1360">
                  <c:v>#N/A</c:v>
                </c:pt>
                <c:pt idx="1361">
                  <c:v>#N/A</c:v>
                </c:pt>
                <c:pt idx="1362">
                  <c:v>#N/A</c:v>
                </c:pt>
                <c:pt idx="1363">
                  <c:v>#N/A</c:v>
                </c:pt>
                <c:pt idx="1364">
                  <c:v>#N/A</c:v>
                </c:pt>
                <c:pt idx="1365">
                  <c:v>#N/A</c:v>
                </c:pt>
                <c:pt idx="1366">
                  <c:v>#N/A</c:v>
                </c:pt>
                <c:pt idx="1367">
                  <c:v>#N/A</c:v>
                </c:pt>
                <c:pt idx="1368">
                  <c:v>#N/A</c:v>
                </c:pt>
                <c:pt idx="1369">
                  <c:v>#N/A</c:v>
                </c:pt>
                <c:pt idx="1370">
                  <c:v>#N/A</c:v>
                </c:pt>
                <c:pt idx="1371">
                  <c:v>#N/A</c:v>
                </c:pt>
                <c:pt idx="1372">
                  <c:v>#N/A</c:v>
                </c:pt>
                <c:pt idx="1373">
                  <c:v>#N/A</c:v>
                </c:pt>
                <c:pt idx="1374">
                  <c:v>#N/A</c:v>
                </c:pt>
                <c:pt idx="1375">
                  <c:v>#N/A</c:v>
                </c:pt>
                <c:pt idx="1376">
                  <c:v>#N/A</c:v>
                </c:pt>
                <c:pt idx="1377">
                  <c:v>#N/A</c:v>
                </c:pt>
                <c:pt idx="1378">
                  <c:v>#N/A</c:v>
                </c:pt>
                <c:pt idx="1379">
                  <c:v>#N/A</c:v>
                </c:pt>
                <c:pt idx="1380">
                  <c:v>#N/A</c:v>
                </c:pt>
                <c:pt idx="1381">
                  <c:v>#N/A</c:v>
                </c:pt>
                <c:pt idx="1382">
                  <c:v>#N/A</c:v>
                </c:pt>
                <c:pt idx="1383">
                  <c:v>#N/A</c:v>
                </c:pt>
                <c:pt idx="1384">
                  <c:v>#N/A</c:v>
                </c:pt>
                <c:pt idx="1385">
                  <c:v>#N/A</c:v>
                </c:pt>
                <c:pt idx="1386">
                  <c:v>#N/A</c:v>
                </c:pt>
                <c:pt idx="1387">
                  <c:v>#N/A</c:v>
                </c:pt>
                <c:pt idx="1388">
                  <c:v>#N/A</c:v>
                </c:pt>
                <c:pt idx="1389">
                  <c:v>#N/A</c:v>
                </c:pt>
                <c:pt idx="1390">
                  <c:v>#N/A</c:v>
                </c:pt>
                <c:pt idx="1391">
                  <c:v>#N/A</c:v>
                </c:pt>
                <c:pt idx="1392">
                  <c:v>#N/A</c:v>
                </c:pt>
                <c:pt idx="1393">
                  <c:v>#N/A</c:v>
                </c:pt>
                <c:pt idx="1394">
                  <c:v>#N/A</c:v>
                </c:pt>
                <c:pt idx="1395">
                  <c:v>#N/A</c:v>
                </c:pt>
                <c:pt idx="1396">
                  <c:v>#N/A</c:v>
                </c:pt>
                <c:pt idx="1397">
                  <c:v>#N/A</c:v>
                </c:pt>
                <c:pt idx="1398">
                  <c:v>#N/A</c:v>
                </c:pt>
                <c:pt idx="1399">
                  <c:v>#N/A</c:v>
                </c:pt>
                <c:pt idx="1400">
                  <c:v>#N/A</c:v>
                </c:pt>
                <c:pt idx="1401">
                  <c:v>#N/A</c:v>
                </c:pt>
                <c:pt idx="1402">
                  <c:v>#N/A</c:v>
                </c:pt>
                <c:pt idx="1403">
                  <c:v>#N/A</c:v>
                </c:pt>
                <c:pt idx="1404">
                  <c:v>#N/A</c:v>
                </c:pt>
                <c:pt idx="1405">
                  <c:v>#N/A</c:v>
                </c:pt>
                <c:pt idx="1406">
                  <c:v>#N/A</c:v>
                </c:pt>
                <c:pt idx="1407">
                  <c:v>#N/A</c:v>
                </c:pt>
                <c:pt idx="1408">
                  <c:v>#N/A</c:v>
                </c:pt>
                <c:pt idx="1409">
                  <c:v>#N/A</c:v>
                </c:pt>
                <c:pt idx="1410">
                  <c:v>#N/A</c:v>
                </c:pt>
                <c:pt idx="1411">
                  <c:v>#N/A</c:v>
                </c:pt>
                <c:pt idx="1412">
                  <c:v>#N/A</c:v>
                </c:pt>
                <c:pt idx="1413">
                  <c:v>#N/A</c:v>
                </c:pt>
                <c:pt idx="1414">
                  <c:v>#N/A</c:v>
                </c:pt>
                <c:pt idx="1415">
                  <c:v>#N/A</c:v>
                </c:pt>
                <c:pt idx="1416">
                  <c:v>#N/A</c:v>
                </c:pt>
                <c:pt idx="1417">
                  <c:v>#N/A</c:v>
                </c:pt>
                <c:pt idx="1418">
                  <c:v>#N/A</c:v>
                </c:pt>
                <c:pt idx="1419">
                  <c:v>#N/A</c:v>
                </c:pt>
                <c:pt idx="1420">
                  <c:v>#N/A</c:v>
                </c:pt>
                <c:pt idx="1421">
                  <c:v>#N/A</c:v>
                </c:pt>
                <c:pt idx="1422">
                  <c:v>#N/A</c:v>
                </c:pt>
                <c:pt idx="1423">
                  <c:v>#N/A</c:v>
                </c:pt>
                <c:pt idx="1424">
                  <c:v>#N/A</c:v>
                </c:pt>
                <c:pt idx="1425">
                  <c:v>#N/A</c:v>
                </c:pt>
                <c:pt idx="1426">
                  <c:v>#N/A</c:v>
                </c:pt>
                <c:pt idx="1427">
                  <c:v>#N/A</c:v>
                </c:pt>
                <c:pt idx="1428">
                  <c:v>#N/A</c:v>
                </c:pt>
                <c:pt idx="1429">
                  <c:v>#N/A</c:v>
                </c:pt>
                <c:pt idx="1430">
                  <c:v>#N/A</c:v>
                </c:pt>
                <c:pt idx="1431">
                  <c:v>#N/A</c:v>
                </c:pt>
                <c:pt idx="1432">
                  <c:v>#N/A</c:v>
                </c:pt>
                <c:pt idx="1433">
                  <c:v>#N/A</c:v>
                </c:pt>
                <c:pt idx="1434">
                  <c:v>#N/A</c:v>
                </c:pt>
                <c:pt idx="1435">
                  <c:v>#N/A</c:v>
                </c:pt>
                <c:pt idx="1436">
                  <c:v>#N/A</c:v>
                </c:pt>
                <c:pt idx="1437">
                  <c:v>#N/A</c:v>
                </c:pt>
                <c:pt idx="1438">
                  <c:v>#N/A</c:v>
                </c:pt>
                <c:pt idx="1439">
                  <c:v>#N/A</c:v>
                </c:pt>
                <c:pt idx="1440">
                  <c:v>#N/A</c:v>
                </c:pt>
                <c:pt idx="1441">
                  <c:v>#N/A</c:v>
                </c:pt>
                <c:pt idx="1442">
                  <c:v>#N/A</c:v>
                </c:pt>
                <c:pt idx="1443">
                  <c:v>#N/A</c:v>
                </c:pt>
                <c:pt idx="1444">
                  <c:v>#N/A</c:v>
                </c:pt>
                <c:pt idx="1445">
                  <c:v>#N/A</c:v>
                </c:pt>
                <c:pt idx="1446">
                  <c:v>#N/A</c:v>
                </c:pt>
                <c:pt idx="1447">
                  <c:v>#N/A</c:v>
                </c:pt>
                <c:pt idx="1448">
                  <c:v>#N/A</c:v>
                </c:pt>
                <c:pt idx="1449">
                  <c:v>#N/A</c:v>
                </c:pt>
                <c:pt idx="1450">
                  <c:v>#N/A</c:v>
                </c:pt>
                <c:pt idx="1451">
                  <c:v>#N/A</c:v>
                </c:pt>
                <c:pt idx="1452">
                  <c:v>#N/A</c:v>
                </c:pt>
                <c:pt idx="1453">
                  <c:v>#N/A</c:v>
                </c:pt>
                <c:pt idx="1454">
                  <c:v>#N/A</c:v>
                </c:pt>
                <c:pt idx="1455">
                  <c:v>#N/A</c:v>
                </c:pt>
                <c:pt idx="1456">
                  <c:v>#N/A</c:v>
                </c:pt>
                <c:pt idx="1457">
                  <c:v>#N/A</c:v>
                </c:pt>
                <c:pt idx="1458">
                  <c:v>#N/A</c:v>
                </c:pt>
                <c:pt idx="1459">
                  <c:v>#N/A</c:v>
                </c:pt>
                <c:pt idx="1460">
                  <c:v>#N/A</c:v>
                </c:pt>
                <c:pt idx="1461">
                  <c:v>#N/A</c:v>
                </c:pt>
                <c:pt idx="1462">
                  <c:v>#N/A</c:v>
                </c:pt>
                <c:pt idx="1463">
                  <c:v>#N/A</c:v>
                </c:pt>
                <c:pt idx="1464">
                  <c:v>#N/A</c:v>
                </c:pt>
                <c:pt idx="1465">
                  <c:v>#N/A</c:v>
                </c:pt>
                <c:pt idx="1466">
                  <c:v>#N/A</c:v>
                </c:pt>
                <c:pt idx="1467">
                  <c:v>#N/A</c:v>
                </c:pt>
                <c:pt idx="1468">
                  <c:v>#N/A</c:v>
                </c:pt>
                <c:pt idx="1469">
                  <c:v>#N/A</c:v>
                </c:pt>
                <c:pt idx="1470">
                  <c:v>#N/A</c:v>
                </c:pt>
                <c:pt idx="1471">
                  <c:v>#N/A</c:v>
                </c:pt>
                <c:pt idx="1472">
                  <c:v>#N/A</c:v>
                </c:pt>
                <c:pt idx="1473">
                  <c:v>#N/A</c:v>
                </c:pt>
                <c:pt idx="1474">
                  <c:v>#N/A</c:v>
                </c:pt>
                <c:pt idx="1475">
                  <c:v>#N/A</c:v>
                </c:pt>
                <c:pt idx="1476">
                  <c:v>#N/A</c:v>
                </c:pt>
                <c:pt idx="1477">
                  <c:v>#N/A</c:v>
                </c:pt>
                <c:pt idx="1478">
                  <c:v>#N/A</c:v>
                </c:pt>
                <c:pt idx="1479">
                  <c:v>#N/A</c:v>
                </c:pt>
                <c:pt idx="1480">
                  <c:v>#N/A</c:v>
                </c:pt>
                <c:pt idx="1481">
                  <c:v>#N/A</c:v>
                </c:pt>
                <c:pt idx="1482">
                  <c:v>#N/A</c:v>
                </c:pt>
                <c:pt idx="1483">
                  <c:v>#N/A</c:v>
                </c:pt>
                <c:pt idx="1484">
                  <c:v>#N/A</c:v>
                </c:pt>
                <c:pt idx="1485">
                  <c:v>#N/A</c:v>
                </c:pt>
                <c:pt idx="1486">
                  <c:v>#N/A</c:v>
                </c:pt>
                <c:pt idx="1487">
                  <c:v>#N/A</c:v>
                </c:pt>
                <c:pt idx="1488">
                  <c:v>#N/A</c:v>
                </c:pt>
                <c:pt idx="1489">
                  <c:v>#N/A</c:v>
                </c:pt>
                <c:pt idx="1490">
                  <c:v>#N/A</c:v>
                </c:pt>
                <c:pt idx="1491">
                  <c:v>#N/A</c:v>
                </c:pt>
                <c:pt idx="1492">
                  <c:v>#N/A</c:v>
                </c:pt>
                <c:pt idx="1493">
                  <c:v>#N/A</c:v>
                </c:pt>
                <c:pt idx="1494">
                  <c:v>#N/A</c:v>
                </c:pt>
                <c:pt idx="1495">
                  <c:v>#N/A</c:v>
                </c:pt>
                <c:pt idx="1496">
                  <c:v>#N/A</c:v>
                </c:pt>
                <c:pt idx="1497">
                  <c:v>#N/A</c:v>
                </c:pt>
                <c:pt idx="1498">
                  <c:v>#N/A</c:v>
                </c:pt>
                <c:pt idx="1499">
                  <c:v>#N/A</c:v>
                </c:pt>
                <c:pt idx="1500">
                  <c:v>#N/A</c:v>
                </c:pt>
                <c:pt idx="1501">
                  <c:v>#N/A</c:v>
                </c:pt>
                <c:pt idx="1502">
                  <c:v>#N/A</c:v>
                </c:pt>
                <c:pt idx="1503">
                  <c:v>#N/A</c:v>
                </c:pt>
                <c:pt idx="1504">
                  <c:v>#N/A</c:v>
                </c:pt>
                <c:pt idx="1505">
                  <c:v>#N/A</c:v>
                </c:pt>
                <c:pt idx="1506">
                  <c:v>#N/A</c:v>
                </c:pt>
                <c:pt idx="1507">
                  <c:v>#N/A</c:v>
                </c:pt>
                <c:pt idx="1508">
                  <c:v>#N/A</c:v>
                </c:pt>
                <c:pt idx="1509">
                  <c:v>#N/A</c:v>
                </c:pt>
                <c:pt idx="1510">
                  <c:v>#N/A</c:v>
                </c:pt>
                <c:pt idx="1511">
                  <c:v>#N/A</c:v>
                </c:pt>
                <c:pt idx="1512">
                  <c:v>#N/A</c:v>
                </c:pt>
                <c:pt idx="1513">
                  <c:v>#N/A</c:v>
                </c:pt>
                <c:pt idx="1514">
                  <c:v>#N/A</c:v>
                </c:pt>
                <c:pt idx="1515">
                  <c:v>#N/A</c:v>
                </c:pt>
                <c:pt idx="1516">
                  <c:v>#N/A</c:v>
                </c:pt>
                <c:pt idx="1517">
                  <c:v>#N/A</c:v>
                </c:pt>
                <c:pt idx="1518">
                  <c:v>#N/A</c:v>
                </c:pt>
                <c:pt idx="1519">
                  <c:v>#N/A</c:v>
                </c:pt>
                <c:pt idx="1520">
                  <c:v>#N/A</c:v>
                </c:pt>
                <c:pt idx="1521">
                  <c:v>#N/A</c:v>
                </c:pt>
                <c:pt idx="1522">
                  <c:v>#N/A</c:v>
                </c:pt>
                <c:pt idx="1523">
                  <c:v>#N/A</c:v>
                </c:pt>
                <c:pt idx="1524">
                  <c:v>#N/A</c:v>
                </c:pt>
                <c:pt idx="1525">
                  <c:v>#N/A</c:v>
                </c:pt>
                <c:pt idx="1526">
                  <c:v>#N/A</c:v>
                </c:pt>
                <c:pt idx="1527">
                  <c:v>#N/A</c:v>
                </c:pt>
                <c:pt idx="1528">
                  <c:v>#N/A</c:v>
                </c:pt>
                <c:pt idx="1529">
                  <c:v>#N/A</c:v>
                </c:pt>
                <c:pt idx="1530">
                  <c:v>#N/A</c:v>
                </c:pt>
                <c:pt idx="1531">
                  <c:v>#N/A</c:v>
                </c:pt>
                <c:pt idx="1532">
                  <c:v>#N/A</c:v>
                </c:pt>
                <c:pt idx="1533">
                  <c:v>#N/A</c:v>
                </c:pt>
                <c:pt idx="1534">
                  <c:v>#N/A</c:v>
                </c:pt>
                <c:pt idx="1535">
                  <c:v>#N/A</c:v>
                </c:pt>
                <c:pt idx="1536">
                  <c:v>#N/A</c:v>
                </c:pt>
                <c:pt idx="1537">
                  <c:v>#N/A</c:v>
                </c:pt>
                <c:pt idx="1538">
                  <c:v>#N/A</c:v>
                </c:pt>
                <c:pt idx="1539">
                  <c:v>#N/A</c:v>
                </c:pt>
                <c:pt idx="1540">
                  <c:v>#N/A</c:v>
                </c:pt>
                <c:pt idx="1541">
                  <c:v>#N/A</c:v>
                </c:pt>
                <c:pt idx="1542">
                  <c:v>#N/A</c:v>
                </c:pt>
                <c:pt idx="1543">
                  <c:v>#N/A</c:v>
                </c:pt>
                <c:pt idx="1544">
                  <c:v>#N/A</c:v>
                </c:pt>
                <c:pt idx="1545">
                  <c:v>#N/A</c:v>
                </c:pt>
                <c:pt idx="1546">
                  <c:v>#N/A</c:v>
                </c:pt>
                <c:pt idx="1547">
                  <c:v>#N/A</c:v>
                </c:pt>
                <c:pt idx="1548">
                  <c:v>#N/A</c:v>
                </c:pt>
                <c:pt idx="1549">
                  <c:v>#N/A</c:v>
                </c:pt>
                <c:pt idx="1550">
                  <c:v>#N/A</c:v>
                </c:pt>
                <c:pt idx="1551">
                  <c:v>#N/A</c:v>
                </c:pt>
                <c:pt idx="1552">
                  <c:v>#N/A</c:v>
                </c:pt>
                <c:pt idx="1553">
                  <c:v>#N/A</c:v>
                </c:pt>
                <c:pt idx="1554">
                  <c:v>#N/A</c:v>
                </c:pt>
                <c:pt idx="1555">
                  <c:v>#N/A</c:v>
                </c:pt>
                <c:pt idx="1556">
                  <c:v>#N/A</c:v>
                </c:pt>
                <c:pt idx="1557">
                  <c:v>#N/A</c:v>
                </c:pt>
                <c:pt idx="1558">
                  <c:v>#N/A</c:v>
                </c:pt>
                <c:pt idx="1559">
                  <c:v>#N/A</c:v>
                </c:pt>
                <c:pt idx="1560">
                  <c:v>#N/A</c:v>
                </c:pt>
                <c:pt idx="1561">
                  <c:v>#N/A</c:v>
                </c:pt>
                <c:pt idx="1562">
                  <c:v>#N/A</c:v>
                </c:pt>
                <c:pt idx="1563">
                  <c:v>#N/A</c:v>
                </c:pt>
                <c:pt idx="1564">
                  <c:v>#N/A</c:v>
                </c:pt>
                <c:pt idx="1565">
                  <c:v>#N/A</c:v>
                </c:pt>
                <c:pt idx="1566">
                  <c:v>#N/A</c:v>
                </c:pt>
                <c:pt idx="1567">
                  <c:v>#N/A</c:v>
                </c:pt>
                <c:pt idx="1568">
                  <c:v>#N/A</c:v>
                </c:pt>
                <c:pt idx="1569">
                  <c:v>#N/A</c:v>
                </c:pt>
                <c:pt idx="1570">
                  <c:v>#N/A</c:v>
                </c:pt>
                <c:pt idx="1571">
                  <c:v>#N/A</c:v>
                </c:pt>
                <c:pt idx="1572">
                  <c:v>#N/A</c:v>
                </c:pt>
                <c:pt idx="1573">
                  <c:v>#N/A</c:v>
                </c:pt>
                <c:pt idx="1574">
                  <c:v>#N/A</c:v>
                </c:pt>
                <c:pt idx="1575">
                  <c:v>#N/A</c:v>
                </c:pt>
                <c:pt idx="1576">
                  <c:v>#N/A</c:v>
                </c:pt>
                <c:pt idx="1577">
                  <c:v>#N/A</c:v>
                </c:pt>
                <c:pt idx="1578">
                  <c:v>#N/A</c:v>
                </c:pt>
                <c:pt idx="1579">
                  <c:v>#N/A</c:v>
                </c:pt>
                <c:pt idx="1580">
                  <c:v>#N/A</c:v>
                </c:pt>
                <c:pt idx="1581">
                  <c:v>#N/A</c:v>
                </c:pt>
                <c:pt idx="1582">
                  <c:v>#N/A</c:v>
                </c:pt>
                <c:pt idx="1583">
                  <c:v>#N/A</c:v>
                </c:pt>
                <c:pt idx="1584">
                  <c:v>#N/A</c:v>
                </c:pt>
                <c:pt idx="1585">
                  <c:v>#N/A</c:v>
                </c:pt>
                <c:pt idx="1586">
                  <c:v>#N/A</c:v>
                </c:pt>
                <c:pt idx="1587">
                  <c:v>#N/A</c:v>
                </c:pt>
                <c:pt idx="1588">
                  <c:v>#N/A</c:v>
                </c:pt>
                <c:pt idx="1589">
                  <c:v>#N/A</c:v>
                </c:pt>
                <c:pt idx="1590">
                  <c:v>#N/A</c:v>
                </c:pt>
                <c:pt idx="1591">
                  <c:v>#N/A</c:v>
                </c:pt>
                <c:pt idx="1592">
                  <c:v>#N/A</c:v>
                </c:pt>
                <c:pt idx="1593">
                  <c:v>#N/A</c:v>
                </c:pt>
                <c:pt idx="1594">
                  <c:v>#N/A</c:v>
                </c:pt>
                <c:pt idx="1595">
                  <c:v>#N/A</c:v>
                </c:pt>
                <c:pt idx="1596">
                  <c:v>#N/A</c:v>
                </c:pt>
                <c:pt idx="1597">
                  <c:v>#N/A</c:v>
                </c:pt>
                <c:pt idx="1598">
                  <c:v>#N/A</c:v>
                </c:pt>
                <c:pt idx="1599">
                  <c:v>#N/A</c:v>
                </c:pt>
                <c:pt idx="1600">
                  <c:v>#N/A</c:v>
                </c:pt>
                <c:pt idx="1601">
                  <c:v>#N/A</c:v>
                </c:pt>
                <c:pt idx="1602">
                  <c:v>#N/A</c:v>
                </c:pt>
                <c:pt idx="1603">
                  <c:v>#N/A</c:v>
                </c:pt>
                <c:pt idx="1604">
                  <c:v>#N/A</c:v>
                </c:pt>
                <c:pt idx="1605">
                  <c:v>#N/A</c:v>
                </c:pt>
                <c:pt idx="1606">
                  <c:v>#N/A</c:v>
                </c:pt>
                <c:pt idx="1607">
                  <c:v>#N/A</c:v>
                </c:pt>
                <c:pt idx="1608">
                  <c:v>#N/A</c:v>
                </c:pt>
                <c:pt idx="1609">
                  <c:v>#N/A</c:v>
                </c:pt>
                <c:pt idx="1610">
                  <c:v>#N/A</c:v>
                </c:pt>
                <c:pt idx="1611">
                  <c:v>#N/A</c:v>
                </c:pt>
                <c:pt idx="1612">
                  <c:v>#N/A</c:v>
                </c:pt>
                <c:pt idx="1613">
                  <c:v>#N/A</c:v>
                </c:pt>
                <c:pt idx="1614">
                  <c:v>#N/A</c:v>
                </c:pt>
                <c:pt idx="1615">
                  <c:v>#N/A</c:v>
                </c:pt>
                <c:pt idx="1616">
                  <c:v>#N/A</c:v>
                </c:pt>
                <c:pt idx="1617">
                  <c:v>#N/A</c:v>
                </c:pt>
                <c:pt idx="1618">
                  <c:v>#N/A</c:v>
                </c:pt>
                <c:pt idx="1619">
                  <c:v>#N/A</c:v>
                </c:pt>
                <c:pt idx="1620">
                  <c:v>#N/A</c:v>
                </c:pt>
                <c:pt idx="1621">
                  <c:v>#N/A</c:v>
                </c:pt>
                <c:pt idx="1622">
                  <c:v>#N/A</c:v>
                </c:pt>
                <c:pt idx="1623">
                  <c:v>#N/A</c:v>
                </c:pt>
                <c:pt idx="1624">
                  <c:v>#N/A</c:v>
                </c:pt>
                <c:pt idx="1625">
                  <c:v>#N/A</c:v>
                </c:pt>
                <c:pt idx="1626">
                  <c:v>#N/A</c:v>
                </c:pt>
                <c:pt idx="1627">
                  <c:v>#N/A</c:v>
                </c:pt>
                <c:pt idx="1628">
                  <c:v>#N/A</c:v>
                </c:pt>
                <c:pt idx="1629">
                  <c:v>#N/A</c:v>
                </c:pt>
                <c:pt idx="1630">
                  <c:v>#N/A</c:v>
                </c:pt>
                <c:pt idx="1631">
                  <c:v>#N/A</c:v>
                </c:pt>
                <c:pt idx="1632">
                  <c:v>#N/A</c:v>
                </c:pt>
                <c:pt idx="1633">
                  <c:v>#N/A</c:v>
                </c:pt>
                <c:pt idx="1634">
                  <c:v>#N/A</c:v>
                </c:pt>
                <c:pt idx="1635">
                  <c:v>#N/A</c:v>
                </c:pt>
                <c:pt idx="1636">
                  <c:v>#N/A</c:v>
                </c:pt>
                <c:pt idx="1637">
                  <c:v>#N/A</c:v>
                </c:pt>
                <c:pt idx="1638">
                  <c:v>#N/A</c:v>
                </c:pt>
                <c:pt idx="1639">
                  <c:v>#N/A</c:v>
                </c:pt>
                <c:pt idx="1640">
                  <c:v>#N/A</c:v>
                </c:pt>
                <c:pt idx="1641">
                  <c:v>#N/A</c:v>
                </c:pt>
                <c:pt idx="1642">
                  <c:v>#N/A</c:v>
                </c:pt>
                <c:pt idx="1643">
                  <c:v>#N/A</c:v>
                </c:pt>
                <c:pt idx="1644">
                  <c:v>#N/A</c:v>
                </c:pt>
                <c:pt idx="1645">
                  <c:v>#N/A</c:v>
                </c:pt>
                <c:pt idx="1646">
                  <c:v>#N/A</c:v>
                </c:pt>
                <c:pt idx="1647">
                  <c:v>#N/A</c:v>
                </c:pt>
                <c:pt idx="1648">
                  <c:v>#N/A</c:v>
                </c:pt>
                <c:pt idx="1649">
                  <c:v>#N/A</c:v>
                </c:pt>
                <c:pt idx="1650">
                  <c:v>#N/A</c:v>
                </c:pt>
                <c:pt idx="1651">
                  <c:v>#N/A</c:v>
                </c:pt>
                <c:pt idx="1652">
                  <c:v>#N/A</c:v>
                </c:pt>
                <c:pt idx="1653">
                  <c:v>#N/A</c:v>
                </c:pt>
                <c:pt idx="1654">
                  <c:v>#N/A</c:v>
                </c:pt>
                <c:pt idx="1655">
                  <c:v>#N/A</c:v>
                </c:pt>
                <c:pt idx="1656">
                  <c:v>#N/A</c:v>
                </c:pt>
                <c:pt idx="1657">
                  <c:v>#N/A</c:v>
                </c:pt>
                <c:pt idx="1658">
                  <c:v>#N/A</c:v>
                </c:pt>
                <c:pt idx="1659">
                  <c:v>#N/A</c:v>
                </c:pt>
                <c:pt idx="1660">
                  <c:v>#N/A</c:v>
                </c:pt>
                <c:pt idx="1661">
                  <c:v>#N/A</c:v>
                </c:pt>
                <c:pt idx="1662">
                  <c:v>#N/A</c:v>
                </c:pt>
                <c:pt idx="1663">
                  <c:v>#N/A</c:v>
                </c:pt>
                <c:pt idx="1664">
                  <c:v>#N/A</c:v>
                </c:pt>
                <c:pt idx="1665">
                  <c:v>#N/A</c:v>
                </c:pt>
                <c:pt idx="1666">
                  <c:v>#N/A</c:v>
                </c:pt>
                <c:pt idx="1667">
                  <c:v>#N/A</c:v>
                </c:pt>
                <c:pt idx="1668">
                  <c:v>#N/A</c:v>
                </c:pt>
                <c:pt idx="1669">
                  <c:v>#N/A</c:v>
                </c:pt>
                <c:pt idx="1670">
                  <c:v>#N/A</c:v>
                </c:pt>
                <c:pt idx="1671">
                  <c:v>#N/A</c:v>
                </c:pt>
                <c:pt idx="1672">
                  <c:v>#N/A</c:v>
                </c:pt>
                <c:pt idx="1673">
                  <c:v>#N/A</c:v>
                </c:pt>
                <c:pt idx="1674">
                  <c:v>#N/A</c:v>
                </c:pt>
                <c:pt idx="1675">
                  <c:v>#N/A</c:v>
                </c:pt>
                <c:pt idx="1676">
                  <c:v>#N/A</c:v>
                </c:pt>
                <c:pt idx="1677">
                  <c:v>#N/A</c:v>
                </c:pt>
                <c:pt idx="1678">
                  <c:v>#N/A</c:v>
                </c:pt>
                <c:pt idx="1679">
                  <c:v>#N/A</c:v>
                </c:pt>
                <c:pt idx="1680">
                  <c:v>#N/A</c:v>
                </c:pt>
                <c:pt idx="1681">
                  <c:v>#N/A</c:v>
                </c:pt>
                <c:pt idx="1682">
                  <c:v>#N/A</c:v>
                </c:pt>
                <c:pt idx="1683">
                  <c:v>#N/A</c:v>
                </c:pt>
                <c:pt idx="1684">
                  <c:v>#N/A</c:v>
                </c:pt>
                <c:pt idx="1685">
                  <c:v>#N/A</c:v>
                </c:pt>
                <c:pt idx="1686">
                  <c:v>#N/A</c:v>
                </c:pt>
                <c:pt idx="1687">
                  <c:v>#N/A</c:v>
                </c:pt>
                <c:pt idx="1688">
                  <c:v>#N/A</c:v>
                </c:pt>
                <c:pt idx="1689">
                  <c:v>#N/A</c:v>
                </c:pt>
                <c:pt idx="1690">
                  <c:v>#N/A</c:v>
                </c:pt>
                <c:pt idx="1691">
                  <c:v>#N/A</c:v>
                </c:pt>
                <c:pt idx="1692">
                  <c:v>#N/A</c:v>
                </c:pt>
                <c:pt idx="1693">
                  <c:v>#N/A</c:v>
                </c:pt>
                <c:pt idx="1694">
                  <c:v>#N/A</c:v>
                </c:pt>
                <c:pt idx="1695">
                  <c:v>#N/A</c:v>
                </c:pt>
                <c:pt idx="1696">
                  <c:v>#N/A</c:v>
                </c:pt>
                <c:pt idx="1697">
                  <c:v>#N/A</c:v>
                </c:pt>
                <c:pt idx="1698">
                  <c:v>#N/A</c:v>
                </c:pt>
                <c:pt idx="1699">
                  <c:v>#N/A</c:v>
                </c:pt>
                <c:pt idx="1700">
                  <c:v>#N/A</c:v>
                </c:pt>
                <c:pt idx="1701">
                  <c:v>#N/A</c:v>
                </c:pt>
                <c:pt idx="1702">
                  <c:v>#N/A</c:v>
                </c:pt>
                <c:pt idx="1703">
                  <c:v>#N/A</c:v>
                </c:pt>
                <c:pt idx="1704">
                  <c:v>#N/A</c:v>
                </c:pt>
                <c:pt idx="1705">
                  <c:v>#N/A</c:v>
                </c:pt>
                <c:pt idx="1706">
                  <c:v>#N/A</c:v>
                </c:pt>
                <c:pt idx="1707">
                  <c:v>#N/A</c:v>
                </c:pt>
                <c:pt idx="1708">
                  <c:v>#N/A</c:v>
                </c:pt>
                <c:pt idx="1709">
                  <c:v>#N/A</c:v>
                </c:pt>
                <c:pt idx="1710">
                  <c:v>#N/A</c:v>
                </c:pt>
                <c:pt idx="1711">
                  <c:v>#N/A</c:v>
                </c:pt>
                <c:pt idx="1712">
                  <c:v>#N/A</c:v>
                </c:pt>
                <c:pt idx="1713">
                  <c:v>#N/A</c:v>
                </c:pt>
                <c:pt idx="1714">
                  <c:v>#N/A</c:v>
                </c:pt>
                <c:pt idx="1715">
                  <c:v>#N/A</c:v>
                </c:pt>
                <c:pt idx="1716">
                  <c:v>#N/A</c:v>
                </c:pt>
                <c:pt idx="1717">
                  <c:v>#N/A</c:v>
                </c:pt>
                <c:pt idx="1718">
                  <c:v>#N/A</c:v>
                </c:pt>
                <c:pt idx="1719">
                  <c:v>#N/A</c:v>
                </c:pt>
                <c:pt idx="1720">
                  <c:v>#N/A</c:v>
                </c:pt>
                <c:pt idx="1721">
                  <c:v>#N/A</c:v>
                </c:pt>
                <c:pt idx="1722">
                  <c:v>#N/A</c:v>
                </c:pt>
                <c:pt idx="1723">
                  <c:v>#N/A</c:v>
                </c:pt>
                <c:pt idx="1724">
                  <c:v>#N/A</c:v>
                </c:pt>
                <c:pt idx="1725">
                  <c:v>#N/A</c:v>
                </c:pt>
                <c:pt idx="1726">
                  <c:v>#N/A</c:v>
                </c:pt>
                <c:pt idx="1727">
                  <c:v>#N/A</c:v>
                </c:pt>
                <c:pt idx="1728">
                  <c:v>#N/A</c:v>
                </c:pt>
                <c:pt idx="1729">
                  <c:v>#N/A</c:v>
                </c:pt>
                <c:pt idx="1730">
                  <c:v>#N/A</c:v>
                </c:pt>
                <c:pt idx="1731">
                  <c:v>#N/A</c:v>
                </c:pt>
                <c:pt idx="1732">
                  <c:v>#N/A</c:v>
                </c:pt>
                <c:pt idx="1733">
                  <c:v>#N/A</c:v>
                </c:pt>
              </c:numCache>
            </c:numRef>
          </c:xVal>
          <c:yVal>
            <c:numRef>
              <c:f>Display!$B$3:$B$900</c:f>
              <c:numCache>
                <c:formatCode>General</c:formatCode>
                <c:ptCount val="89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numCache>
            </c:numRef>
          </c:yVal>
          <c:smooth val="0"/>
          <c:extLst>
            <c:ext xmlns:c16="http://schemas.microsoft.com/office/drawing/2014/chart" uri="{C3380CC4-5D6E-409C-BE32-E72D297353CC}">
              <c16:uniqueId val="{00000003-AC08-4B8B-BCC4-91DC3E258349}"/>
            </c:ext>
          </c:extLst>
        </c:ser>
        <c:dLbls>
          <c:showLegendKey val="0"/>
          <c:showVal val="0"/>
          <c:showCatName val="0"/>
          <c:showSerName val="0"/>
          <c:showPercent val="0"/>
          <c:showBubbleSize val="0"/>
        </c:dLbls>
        <c:axId val="135677056"/>
        <c:axId val="135678592"/>
      </c:scatterChart>
      <c:valAx>
        <c:axId val="135677056"/>
        <c:scaling>
          <c:orientation val="minMax"/>
        </c:scaling>
        <c:delete val="0"/>
        <c:axPos val="b"/>
        <c:majorGridlines>
          <c:spPr>
            <a:ln w="3175">
              <a:solidFill>
                <a:srgbClr val="000000"/>
              </a:solidFill>
              <a:prstDash val="solid"/>
            </a:ln>
          </c:spPr>
        </c:majorGridlines>
        <c:numFmt formatCode="#,##0" sourceLinked="0"/>
        <c:majorTickMark val="out"/>
        <c:minorTickMark val="out"/>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5678592"/>
        <c:crosses val="autoZero"/>
        <c:crossBetween val="midCat"/>
      </c:valAx>
      <c:valAx>
        <c:axId val="13567859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35677056"/>
        <c:crosses val="autoZero"/>
        <c:crossBetween val="midCat"/>
      </c:valAx>
      <c:spPr>
        <a:solidFill>
          <a:srgbClr val="FFFFFF"/>
        </a:solidFill>
        <a:ln w="12700">
          <a:solidFill>
            <a:srgbClr val="808080"/>
          </a:solidFill>
          <a:prstDash val="solid"/>
        </a:ln>
      </c:spPr>
    </c:plotArea>
    <c:legend>
      <c:legendPos val="t"/>
      <c:layout>
        <c:manualLayout>
          <c:xMode val="edge"/>
          <c:yMode val="edge"/>
          <c:x val="0.15296376099267578"/>
          <c:y val="6.7307556704665664E-2"/>
          <c:w val="0.78926003111886467"/>
          <c:h val="6.4386727778430713E-2"/>
        </c:manualLayout>
      </c:layout>
      <c:overlay val="0"/>
      <c:spPr>
        <a:solidFill>
          <a:schemeClr val="bg1"/>
        </a:solidFill>
        <a:ln w="12700">
          <a:solidFill>
            <a:srgbClr val="00008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0"/>
    <c:dispBlanksAs val="span"/>
    <c:showDLblsOverMax val="0"/>
  </c:chart>
  <c:spPr>
    <a:solidFill>
      <a:schemeClr val="bg1"/>
    </a:solidFill>
    <a:ln w="9525">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67" footer="0.49212598450000067"/>
    <c:pageSetup orientation="landscape" horizontalDpi="300" verticalDpi="300"/>
  </c:printSettings>
</c:chartSpace>
</file>

<file path=xl/ctrlProps/ctrlProp1.xml><?xml version="1.0" encoding="utf-8"?>
<formControlPr xmlns="http://schemas.microsoft.com/office/spreadsheetml/2009/9/main" objectType="Drop" dropLines="10" dropStyle="combo" dx="16" fmlaLink="SelectionTables!$G$3" fmlaRange="SelectionTables!$G$6:$G$12" sel="3" val="0"/>
</file>

<file path=xl/ctrlProps/ctrlProp10.xml><?xml version="1.0" encoding="utf-8"?>
<formControlPr xmlns="http://schemas.microsoft.com/office/spreadsheetml/2009/9/main" objectType="Drop" dropLines="13" dropStyle="combo" dx="16" fmlaLink="SelectionTables!$X$3" fmlaRange="SelectionTables!$X$6:$X$18" sel="4" val="0"/>
</file>

<file path=xl/ctrlProps/ctrlProp100.xml><?xml version="1.0" encoding="utf-8"?>
<formControlPr xmlns="http://schemas.microsoft.com/office/spreadsheetml/2009/9/main" objectType="CheckBox" fmlaLink="$C$93" lockText="1" noThreeD="1"/>
</file>

<file path=xl/ctrlProps/ctrlProp101.xml><?xml version="1.0" encoding="utf-8"?>
<formControlPr xmlns="http://schemas.microsoft.com/office/spreadsheetml/2009/9/main" objectType="CheckBox" fmlaLink="$C$94" lockText="1" noThreeD="1"/>
</file>

<file path=xl/ctrlProps/ctrlProp102.xml><?xml version="1.0" encoding="utf-8"?>
<formControlPr xmlns="http://schemas.microsoft.com/office/spreadsheetml/2009/9/main" objectType="CheckBox" fmlaLink="$C$95" lockText="1" noThreeD="1"/>
</file>

<file path=xl/ctrlProps/ctrlProp103.xml><?xml version="1.0" encoding="utf-8"?>
<formControlPr xmlns="http://schemas.microsoft.com/office/spreadsheetml/2009/9/main" objectType="CheckBox" fmlaLink="$C$96" lockText="1" noThreeD="1"/>
</file>

<file path=xl/ctrlProps/ctrlProp104.xml><?xml version="1.0" encoding="utf-8"?>
<formControlPr xmlns="http://schemas.microsoft.com/office/spreadsheetml/2009/9/main" objectType="CheckBox" fmlaLink="$C$97" lockText="1" noThreeD="1"/>
</file>

<file path=xl/ctrlProps/ctrlProp105.xml><?xml version="1.0" encoding="utf-8"?>
<formControlPr xmlns="http://schemas.microsoft.com/office/spreadsheetml/2009/9/main" objectType="CheckBox" fmlaLink="$C$98" lockText="1" noThreeD="1"/>
</file>

<file path=xl/ctrlProps/ctrlProp106.xml><?xml version="1.0" encoding="utf-8"?>
<formControlPr xmlns="http://schemas.microsoft.com/office/spreadsheetml/2009/9/main" objectType="CheckBox" fmlaLink="$C$99" lockText="1" noThreeD="1"/>
</file>

<file path=xl/ctrlProps/ctrlProp107.xml><?xml version="1.0" encoding="utf-8"?>
<formControlPr xmlns="http://schemas.microsoft.com/office/spreadsheetml/2009/9/main" objectType="CheckBox" fmlaLink="$C$100" lockText="1" noThreeD="1"/>
</file>

<file path=xl/ctrlProps/ctrlProp108.xml><?xml version="1.0" encoding="utf-8"?>
<formControlPr xmlns="http://schemas.microsoft.com/office/spreadsheetml/2009/9/main" objectType="CheckBox" fmlaLink="$C$101" lockText="1" noThreeD="1"/>
</file>

<file path=xl/ctrlProps/ctrlProp109.xml><?xml version="1.0" encoding="utf-8"?>
<formControlPr xmlns="http://schemas.microsoft.com/office/spreadsheetml/2009/9/main" objectType="CheckBox" fmlaLink="$C$102" lockText="1" noThreeD="1"/>
</file>

<file path=xl/ctrlProps/ctrlProp11.xml><?xml version="1.0" encoding="utf-8"?>
<formControlPr xmlns="http://schemas.microsoft.com/office/spreadsheetml/2009/9/main" objectType="Drop" dropStyle="combo" dx="16" fmlaLink="SelectionTables!$Y$3" fmlaRange="SelectionTables!$Y$6:$Y$13" sel="1" val="0"/>
</file>

<file path=xl/ctrlProps/ctrlProp110.xml><?xml version="1.0" encoding="utf-8"?>
<formControlPr xmlns="http://schemas.microsoft.com/office/spreadsheetml/2009/9/main" objectType="CheckBox" fmlaLink="$C$103" lockText="1" noThreeD="1"/>
</file>

<file path=xl/ctrlProps/ctrlProp111.xml><?xml version="1.0" encoding="utf-8"?>
<formControlPr xmlns="http://schemas.microsoft.com/office/spreadsheetml/2009/9/main" objectType="CheckBox" fmlaLink="$C$104" lockText="1" noThreeD="1"/>
</file>

<file path=xl/ctrlProps/ctrlProp112.xml><?xml version="1.0" encoding="utf-8"?>
<formControlPr xmlns="http://schemas.microsoft.com/office/spreadsheetml/2009/9/main" objectType="CheckBox" fmlaLink="$C$105" lockText="1" noThreeD="1"/>
</file>

<file path=xl/ctrlProps/ctrlProp113.xml><?xml version="1.0" encoding="utf-8"?>
<formControlPr xmlns="http://schemas.microsoft.com/office/spreadsheetml/2009/9/main" objectType="CheckBox" fmlaLink="$C$106" lockText="1" noThreeD="1"/>
</file>

<file path=xl/ctrlProps/ctrlProp114.xml><?xml version="1.0" encoding="utf-8"?>
<formControlPr xmlns="http://schemas.microsoft.com/office/spreadsheetml/2009/9/main" objectType="CheckBox" fmlaLink="$C$107" lockText="1" noThreeD="1"/>
</file>

<file path=xl/ctrlProps/ctrlProp115.xml><?xml version="1.0" encoding="utf-8"?>
<formControlPr xmlns="http://schemas.microsoft.com/office/spreadsheetml/2009/9/main" objectType="CheckBox" checked="Checked" fmlaLink="$C$7" lockText="1" noThreeD="1"/>
</file>

<file path=xl/ctrlProps/ctrlProp116.xml><?xml version="1.0" encoding="utf-8"?>
<formControlPr xmlns="http://schemas.microsoft.com/office/spreadsheetml/2009/9/main" objectType="CheckBox" checked="Checked" fmlaLink="$C$9" lockText="1" noThreeD="1"/>
</file>

<file path=xl/ctrlProps/ctrlProp117.xml><?xml version="1.0" encoding="utf-8"?>
<formControlPr xmlns="http://schemas.microsoft.com/office/spreadsheetml/2009/9/main" objectType="CheckBox" checked="Checked" fmlaLink="$H$7" lockText="1" noThreeD="1"/>
</file>

<file path=xl/ctrlProps/ctrlProp118.xml><?xml version="1.0" encoding="utf-8"?>
<formControlPr xmlns="http://schemas.microsoft.com/office/spreadsheetml/2009/9/main" objectType="CheckBox" checked="Checked" fmlaLink="$H$8" lockText="1" noThreeD="1"/>
</file>

<file path=xl/ctrlProps/ctrlProp119.xml><?xml version="1.0" encoding="utf-8"?>
<formControlPr xmlns="http://schemas.microsoft.com/office/spreadsheetml/2009/9/main" objectType="CheckBox" checked="Checked" fmlaLink="$H$9" lockText="1" noThreeD="1"/>
</file>

<file path=xl/ctrlProps/ctrlProp12.xml><?xml version="1.0" encoding="utf-8"?>
<formControlPr xmlns="http://schemas.microsoft.com/office/spreadsheetml/2009/9/main" objectType="Drop" dropLines="2" dropStyle="combo" dx="16" fmlaLink="SelectionTables!$L$3" fmlaRange="SelectionTables!$L$6:$L$7" sel="1" val="0"/>
</file>

<file path=xl/ctrlProps/ctrlProp120.xml><?xml version="1.0" encoding="utf-8"?>
<formControlPr xmlns="http://schemas.microsoft.com/office/spreadsheetml/2009/9/main" objectType="CheckBox" checked="Checked" fmlaLink="$H$10" lockText="1" noThreeD="1"/>
</file>

<file path=xl/ctrlProps/ctrlProp121.xml><?xml version="1.0" encoding="utf-8"?>
<formControlPr xmlns="http://schemas.microsoft.com/office/spreadsheetml/2009/9/main" objectType="CheckBox" checked="Checked" fmlaLink="$H$11" lockText="1" noThreeD="1"/>
</file>

<file path=xl/ctrlProps/ctrlProp122.xml><?xml version="1.0" encoding="utf-8"?>
<formControlPr xmlns="http://schemas.microsoft.com/office/spreadsheetml/2009/9/main" objectType="CheckBox" checked="Checked" fmlaLink="$H$12" lockText="1" noThreeD="1"/>
</file>

<file path=xl/ctrlProps/ctrlProp123.xml><?xml version="1.0" encoding="utf-8"?>
<formControlPr xmlns="http://schemas.microsoft.com/office/spreadsheetml/2009/9/main" objectType="CheckBox" checked="Checked" fmlaLink="$H$13" lockText="1" noThreeD="1"/>
</file>

<file path=xl/ctrlProps/ctrlProp124.xml><?xml version="1.0" encoding="utf-8"?>
<formControlPr xmlns="http://schemas.microsoft.com/office/spreadsheetml/2009/9/main" objectType="CheckBox" checked="Checked" fmlaLink="$H$14" lockText="1" noThreeD="1"/>
</file>

<file path=xl/ctrlProps/ctrlProp125.xml><?xml version="1.0" encoding="utf-8"?>
<formControlPr xmlns="http://schemas.microsoft.com/office/spreadsheetml/2009/9/main" objectType="CheckBox" checked="Checked" fmlaLink="$H$15" lockText="1" noThreeD="1"/>
</file>

<file path=xl/ctrlProps/ctrlProp126.xml><?xml version="1.0" encoding="utf-8"?>
<formControlPr xmlns="http://schemas.microsoft.com/office/spreadsheetml/2009/9/main" objectType="CheckBox" checked="Checked" fmlaLink="$H$16" lockText="1" noThreeD="1"/>
</file>

<file path=xl/ctrlProps/ctrlProp127.xml><?xml version="1.0" encoding="utf-8"?>
<formControlPr xmlns="http://schemas.microsoft.com/office/spreadsheetml/2009/9/main" objectType="CheckBox" checked="Checked" fmlaLink="$H$17" lockText="1" noThreeD="1"/>
</file>

<file path=xl/ctrlProps/ctrlProp128.xml><?xml version="1.0" encoding="utf-8"?>
<formControlPr xmlns="http://schemas.microsoft.com/office/spreadsheetml/2009/9/main" objectType="CheckBox" checked="Checked" fmlaLink="$H$18" lockText="1" noThreeD="1"/>
</file>

<file path=xl/ctrlProps/ctrlProp129.xml><?xml version="1.0" encoding="utf-8"?>
<formControlPr xmlns="http://schemas.microsoft.com/office/spreadsheetml/2009/9/main" objectType="CheckBox" checked="Checked" fmlaLink="$H$19" lockText="1" noThreeD="1"/>
</file>

<file path=xl/ctrlProps/ctrlProp13.xml><?xml version="1.0" encoding="utf-8"?>
<formControlPr xmlns="http://schemas.microsoft.com/office/spreadsheetml/2009/9/main" objectType="Drop" dropLines="2" dropStyle="combo" dx="16" fmlaLink="SelectionTables!$D$16" fmlaRange="SelectionTables!$D$5:$D$6" sel="2" val="0"/>
</file>

<file path=xl/ctrlProps/ctrlProp130.xml><?xml version="1.0" encoding="utf-8"?>
<formControlPr xmlns="http://schemas.microsoft.com/office/spreadsheetml/2009/9/main" objectType="CheckBox" checked="Checked" fmlaLink="$H$20" lockText="1" noThreeD="1"/>
</file>

<file path=xl/ctrlProps/ctrlProp131.xml><?xml version="1.0" encoding="utf-8"?>
<formControlPr xmlns="http://schemas.microsoft.com/office/spreadsheetml/2009/9/main" objectType="CheckBox" fmlaLink="$H$21" lockText="1" noThreeD="1"/>
</file>

<file path=xl/ctrlProps/ctrlProp132.xml><?xml version="1.0" encoding="utf-8"?>
<formControlPr xmlns="http://schemas.microsoft.com/office/spreadsheetml/2009/9/main" objectType="CheckBox" fmlaLink="$H$22" lockText="1" noThreeD="1"/>
</file>

<file path=xl/ctrlProps/ctrlProp133.xml><?xml version="1.0" encoding="utf-8"?>
<formControlPr xmlns="http://schemas.microsoft.com/office/spreadsheetml/2009/9/main" objectType="CheckBox" fmlaLink="$H$23" lockText="1" noThreeD="1"/>
</file>

<file path=xl/ctrlProps/ctrlProp134.xml><?xml version="1.0" encoding="utf-8"?>
<formControlPr xmlns="http://schemas.microsoft.com/office/spreadsheetml/2009/9/main" objectType="CheckBox" fmlaLink="$H$24" lockText="1" noThreeD="1"/>
</file>

<file path=xl/ctrlProps/ctrlProp135.xml><?xml version="1.0" encoding="utf-8"?>
<formControlPr xmlns="http://schemas.microsoft.com/office/spreadsheetml/2009/9/main" objectType="CheckBox" fmlaLink="$H$25" lockText="1" noThreeD="1"/>
</file>

<file path=xl/ctrlProps/ctrlProp136.xml><?xml version="1.0" encoding="utf-8"?>
<formControlPr xmlns="http://schemas.microsoft.com/office/spreadsheetml/2009/9/main" objectType="CheckBox" fmlaLink="$H$26" lockText="1" noThreeD="1"/>
</file>

<file path=xl/ctrlProps/ctrlProp137.xml><?xml version="1.0" encoding="utf-8"?>
<formControlPr xmlns="http://schemas.microsoft.com/office/spreadsheetml/2009/9/main" objectType="CheckBox" fmlaLink="$H$27" lockText="1" noThreeD="1"/>
</file>

<file path=xl/ctrlProps/ctrlProp138.xml><?xml version="1.0" encoding="utf-8"?>
<formControlPr xmlns="http://schemas.microsoft.com/office/spreadsheetml/2009/9/main" objectType="CheckBox" fmlaLink="$H$28" lockText="1" noThreeD="1"/>
</file>

<file path=xl/ctrlProps/ctrlProp139.xml><?xml version="1.0" encoding="utf-8"?>
<formControlPr xmlns="http://schemas.microsoft.com/office/spreadsheetml/2009/9/main" objectType="CheckBox" fmlaLink="$H$29" lockText="1" noThreeD="1"/>
</file>

<file path=xl/ctrlProps/ctrlProp14.xml><?xml version="1.0" encoding="utf-8"?>
<formControlPr xmlns="http://schemas.microsoft.com/office/spreadsheetml/2009/9/main" objectType="Drop" dropLines="15" dropStyle="combo" dx="16" fmlaLink="SelectionTables!$H$3" fmlaRange="SelectionTables!$H$6:$H$17" sel="6" val="0"/>
</file>

<file path=xl/ctrlProps/ctrlProp140.xml><?xml version="1.0" encoding="utf-8"?>
<formControlPr xmlns="http://schemas.microsoft.com/office/spreadsheetml/2009/9/main" objectType="CheckBox" fmlaLink="$H$30" lockText="1" noThreeD="1"/>
</file>

<file path=xl/ctrlProps/ctrlProp141.xml><?xml version="1.0" encoding="utf-8"?>
<formControlPr xmlns="http://schemas.microsoft.com/office/spreadsheetml/2009/9/main" objectType="CheckBox" fmlaLink="$H$31" lockText="1" noThreeD="1"/>
</file>

<file path=xl/ctrlProps/ctrlProp142.xml><?xml version="1.0" encoding="utf-8"?>
<formControlPr xmlns="http://schemas.microsoft.com/office/spreadsheetml/2009/9/main" objectType="CheckBox" fmlaLink="$H$32" lockText="1" noThreeD="1"/>
</file>

<file path=xl/ctrlProps/ctrlProp143.xml><?xml version="1.0" encoding="utf-8"?>
<formControlPr xmlns="http://schemas.microsoft.com/office/spreadsheetml/2009/9/main" objectType="CheckBox" fmlaLink="$H$33" lockText="1" noThreeD="1"/>
</file>

<file path=xl/ctrlProps/ctrlProp144.xml><?xml version="1.0" encoding="utf-8"?>
<formControlPr xmlns="http://schemas.microsoft.com/office/spreadsheetml/2009/9/main" objectType="CheckBox" fmlaLink="$H$34" lockText="1" noThreeD="1"/>
</file>

<file path=xl/ctrlProps/ctrlProp145.xml><?xml version="1.0" encoding="utf-8"?>
<formControlPr xmlns="http://schemas.microsoft.com/office/spreadsheetml/2009/9/main" objectType="CheckBox" fmlaLink="$H$35" lockText="1" noThreeD="1"/>
</file>

<file path=xl/ctrlProps/ctrlProp146.xml><?xml version="1.0" encoding="utf-8"?>
<formControlPr xmlns="http://schemas.microsoft.com/office/spreadsheetml/2009/9/main" objectType="CheckBox" fmlaLink="$H$36" lockText="1" noThreeD="1"/>
</file>

<file path=xl/ctrlProps/ctrlProp147.xml><?xml version="1.0" encoding="utf-8"?>
<formControlPr xmlns="http://schemas.microsoft.com/office/spreadsheetml/2009/9/main" objectType="CheckBox" fmlaLink="$H$37" lockText="1" noThreeD="1"/>
</file>

<file path=xl/ctrlProps/ctrlProp148.xml><?xml version="1.0" encoding="utf-8"?>
<formControlPr xmlns="http://schemas.microsoft.com/office/spreadsheetml/2009/9/main" objectType="CheckBox" fmlaLink="$H$38" lockText="1" noThreeD="1"/>
</file>

<file path=xl/ctrlProps/ctrlProp149.xml><?xml version="1.0" encoding="utf-8"?>
<formControlPr xmlns="http://schemas.microsoft.com/office/spreadsheetml/2009/9/main" objectType="CheckBox" fmlaLink="$H$39" lockText="1" noThreeD="1"/>
</file>

<file path=xl/ctrlProps/ctrlProp15.xml><?xml version="1.0" encoding="utf-8"?>
<formControlPr xmlns="http://schemas.microsoft.com/office/spreadsheetml/2009/9/main" objectType="Drop" dropStyle="combo" dx="16" fmlaLink="SelectionTables!$N$3" fmlaRange="SelectionTables!$N$6:$N$13" sel="2" val="0"/>
</file>

<file path=xl/ctrlProps/ctrlProp150.xml><?xml version="1.0" encoding="utf-8"?>
<formControlPr xmlns="http://schemas.microsoft.com/office/spreadsheetml/2009/9/main" objectType="CheckBox" fmlaLink="$H$40" lockText="1" noThreeD="1"/>
</file>

<file path=xl/ctrlProps/ctrlProp151.xml><?xml version="1.0" encoding="utf-8"?>
<formControlPr xmlns="http://schemas.microsoft.com/office/spreadsheetml/2009/9/main" objectType="CheckBox" fmlaLink="$H$41" lockText="1" noThreeD="1"/>
</file>

<file path=xl/ctrlProps/ctrlProp152.xml><?xml version="1.0" encoding="utf-8"?>
<formControlPr xmlns="http://schemas.microsoft.com/office/spreadsheetml/2009/9/main" objectType="CheckBox" fmlaLink="$H$42" lockText="1" noThreeD="1"/>
</file>

<file path=xl/ctrlProps/ctrlProp153.xml><?xml version="1.0" encoding="utf-8"?>
<formControlPr xmlns="http://schemas.microsoft.com/office/spreadsheetml/2009/9/main" objectType="CheckBox" fmlaLink="$H$43" lockText="1" noThreeD="1"/>
</file>

<file path=xl/ctrlProps/ctrlProp154.xml><?xml version="1.0" encoding="utf-8"?>
<formControlPr xmlns="http://schemas.microsoft.com/office/spreadsheetml/2009/9/main" objectType="CheckBox" fmlaLink="$H$44" lockText="1" noThreeD="1"/>
</file>

<file path=xl/ctrlProps/ctrlProp155.xml><?xml version="1.0" encoding="utf-8"?>
<formControlPr xmlns="http://schemas.microsoft.com/office/spreadsheetml/2009/9/main" objectType="CheckBox" fmlaLink="$H$45" lockText="1" noThreeD="1"/>
</file>

<file path=xl/ctrlProps/ctrlProp156.xml><?xml version="1.0" encoding="utf-8"?>
<formControlPr xmlns="http://schemas.microsoft.com/office/spreadsheetml/2009/9/main" objectType="CheckBox" fmlaLink="$H$46" lockText="1" noThreeD="1"/>
</file>

<file path=xl/ctrlProps/ctrlProp157.xml><?xml version="1.0" encoding="utf-8"?>
<formControlPr xmlns="http://schemas.microsoft.com/office/spreadsheetml/2009/9/main" objectType="CheckBox" checked="Checked" fmlaLink="$M$7" lockText="1" noThreeD="1"/>
</file>

<file path=xl/ctrlProps/ctrlProp158.xml><?xml version="1.0" encoding="utf-8"?>
<formControlPr xmlns="http://schemas.microsoft.com/office/spreadsheetml/2009/9/main" objectType="CheckBox" checked="Checked" fmlaLink="$M$8" lockText="1" noThreeD="1"/>
</file>

<file path=xl/ctrlProps/ctrlProp159.xml><?xml version="1.0" encoding="utf-8"?>
<formControlPr xmlns="http://schemas.microsoft.com/office/spreadsheetml/2009/9/main" objectType="CheckBox" checked="Checked" fmlaLink="$M$9" lockText="1" noThreeD="1"/>
</file>

<file path=xl/ctrlProps/ctrlProp16.xml><?xml version="1.0" encoding="utf-8"?>
<formControlPr xmlns="http://schemas.microsoft.com/office/spreadsheetml/2009/9/main" objectType="CheckBox" checked="Checked" fmlaLink="$C$8" lockText="1" noThreeD="1"/>
</file>

<file path=xl/ctrlProps/ctrlProp160.xml><?xml version="1.0" encoding="utf-8"?>
<formControlPr xmlns="http://schemas.microsoft.com/office/spreadsheetml/2009/9/main" objectType="CheckBox" checked="Checked" fmlaLink="$M$10" lockText="1" noThreeD="1"/>
</file>

<file path=xl/ctrlProps/ctrlProp161.xml><?xml version="1.0" encoding="utf-8"?>
<formControlPr xmlns="http://schemas.microsoft.com/office/spreadsheetml/2009/9/main" objectType="CheckBox" checked="Checked" fmlaLink="$M$11" lockText="1" noThreeD="1"/>
</file>

<file path=xl/ctrlProps/ctrlProp162.xml><?xml version="1.0" encoding="utf-8"?>
<formControlPr xmlns="http://schemas.microsoft.com/office/spreadsheetml/2009/9/main" objectType="CheckBox" checked="Checked" fmlaLink="$M$12" lockText="1" noThreeD="1"/>
</file>

<file path=xl/ctrlProps/ctrlProp163.xml><?xml version="1.0" encoding="utf-8"?>
<formControlPr xmlns="http://schemas.microsoft.com/office/spreadsheetml/2009/9/main" objectType="CheckBox" checked="Checked" fmlaLink="$M$13" lockText="1" noThreeD="1"/>
</file>

<file path=xl/ctrlProps/ctrlProp164.xml><?xml version="1.0" encoding="utf-8"?>
<formControlPr xmlns="http://schemas.microsoft.com/office/spreadsheetml/2009/9/main" objectType="CheckBox" fmlaLink="$M$14" lockText="1" noThreeD="1"/>
</file>

<file path=xl/ctrlProps/ctrlProp165.xml><?xml version="1.0" encoding="utf-8"?>
<formControlPr xmlns="http://schemas.microsoft.com/office/spreadsheetml/2009/9/main" objectType="CheckBox" checked="Checked" fmlaLink="$M$15" lockText="1" noThreeD="1"/>
</file>

<file path=xl/ctrlProps/ctrlProp166.xml><?xml version="1.0" encoding="utf-8"?>
<formControlPr xmlns="http://schemas.microsoft.com/office/spreadsheetml/2009/9/main" objectType="CheckBox" fmlaLink="$M$16" lockText="1" noThreeD="1"/>
</file>

<file path=xl/ctrlProps/ctrlProp167.xml><?xml version="1.0" encoding="utf-8"?>
<formControlPr xmlns="http://schemas.microsoft.com/office/spreadsheetml/2009/9/main" objectType="CheckBox" fmlaLink="$M$17" lockText="1" noThreeD="1"/>
</file>

<file path=xl/ctrlProps/ctrlProp168.xml><?xml version="1.0" encoding="utf-8"?>
<formControlPr xmlns="http://schemas.microsoft.com/office/spreadsheetml/2009/9/main" objectType="CheckBox" fmlaLink="$M$18" lockText="1" noThreeD="1"/>
</file>

<file path=xl/ctrlProps/ctrlProp169.xml><?xml version="1.0" encoding="utf-8"?>
<formControlPr xmlns="http://schemas.microsoft.com/office/spreadsheetml/2009/9/main" objectType="CheckBox" fmlaLink="$M$19" lockText="1" noThreeD="1"/>
</file>

<file path=xl/ctrlProps/ctrlProp17.xml><?xml version="1.0" encoding="utf-8"?>
<formControlPr xmlns="http://schemas.microsoft.com/office/spreadsheetml/2009/9/main" objectType="CheckBox" checked="Checked" fmlaLink="$C$10" lockText="1" noThreeD="1"/>
</file>

<file path=xl/ctrlProps/ctrlProp170.xml><?xml version="1.0" encoding="utf-8"?>
<formControlPr xmlns="http://schemas.microsoft.com/office/spreadsheetml/2009/9/main" objectType="CheckBox" fmlaLink="$M$20" lockText="1" noThreeD="1"/>
</file>

<file path=xl/ctrlProps/ctrlProp171.xml><?xml version="1.0" encoding="utf-8"?>
<formControlPr xmlns="http://schemas.microsoft.com/office/spreadsheetml/2009/9/main" objectType="CheckBox" fmlaLink="$M$21" lockText="1" noThreeD="1"/>
</file>

<file path=xl/ctrlProps/ctrlProp172.xml><?xml version="1.0" encoding="utf-8"?>
<formControlPr xmlns="http://schemas.microsoft.com/office/spreadsheetml/2009/9/main" objectType="CheckBox" fmlaLink="$M$22" lockText="1" noThreeD="1"/>
</file>

<file path=xl/ctrlProps/ctrlProp173.xml><?xml version="1.0" encoding="utf-8"?>
<formControlPr xmlns="http://schemas.microsoft.com/office/spreadsheetml/2009/9/main" objectType="CheckBox" checked="Checked" fmlaLink="$M$23" lockText="1" noThreeD="1"/>
</file>

<file path=xl/ctrlProps/ctrlProp174.xml><?xml version="1.0" encoding="utf-8"?>
<formControlPr xmlns="http://schemas.microsoft.com/office/spreadsheetml/2009/9/main" objectType="CheckBox" fmlaLink="$M$24" lockText="1" noThreeD="1"/>
</file>

<file path=xl/ctrlProps/ctrlProp175.xml><?xml version="1.0" encoding="utf-8"?>
<formControlPr xmlns="http://schemas.microsoft.com/office/spreadsheetml/2009/9/main" objectType="CheckBox" fmlaLink="$M$25" lockText="1" noThreeD="1"/>
</file>

<file path=xl/ctrlProps/ctrlProp176.xml><?xml version="1.0" encoding="utf-8"?>
<formControlPr xmlns="http://schemas.microsoft.com/office/spreadsheetml/2009/9/main" objectType="CheckBox" fmlaLink="$M$26" lockText="1" noThreeD="1"/>
</file>

<file path=xl/ctrlProps/ctrlProp177.xml><?xml version="1.0" encoding="utf-8"?>
<formControlPr xmlns="http://schemas.microsoft.com/office/spreadsheetml/2009/9/main" objectType="CheckBox" fmlaLink="$M$27" lockText="1" noThreeD="1"/>
</file>

<file path=xl/ctrlProps/ctrlProp178.xml><?xml version="1.0" encoding="utf-8"?>
<formControlPr xmlns="http://schemas.microsoft.com/office/spreadsheetml/2009/9/main" objectType="CheckBox" fmlaLink="$M$28" lockText="1" noThreeD="1"/>
</file>

<file path=xl/ctrlProps/ctrlProp179.xml><?xml version="1.0" encoding="utf-8"?>
<formControlPr xmlns="http://schemas.microsoft.com/office/spreadsheetml/2009/9/main" objectType="CheckBox" fmlaLink="$M$29" lockText="1" noThreeD="1"/>
</file>

<file path=xl/ctrlProps/ctrlProp18.xml><?xml version="1.0" encoding="utf-8"?>
<formControlPr xmlns="http://schemas.microsoft.com/office/spreadsheetml/2009/9/main" objectType="CheckBox" checked="Checked" fmlaLink="$C$12" lockText="1" noThreeD="1"/>
</file>

<file path=xl/ctrlProps/ctrlProp180.xml><?xml version="1.0" encoding="utf-8"?>
<formControlPr xmlns="http://schemas.microsoft.com/office/spreadsheetml/2009/9/main" objectType="CheckBox" fmlaLink="$M$30" lockText="1" noThreeD="1"/>
</file>

<file path=xl/ctrlProps/ctrlProp181.xml><?xml version="1.0" encoding="utf-8"?>
<formControlPr xmlns="http://schemas.microsoft.com/office/spreadsheetml/2009/9/main" objectType="CheckBox" fmlaLink="$M$31" lockText="1" noThreeD="1"/>
</file>

<file path=xl/ctrlProps/ctrlProp182.xml><?xml version="1.0" encoding="utf-8"?>
<formControlPr xmlns="http://schemas.microsoft.com/office/spreadsheetml/2009/9/main" objectType="CheckBox" fmlaLink="$M$32" lockText="1" noThreeD="1"/>
</file>

<file path=xl/ctrlProps/ctrlProp183.xml><?xml version="1.0" encoding="utf-8"?>
<formControlPr xmlns="http://schemas.microsoft.com/office/spreadsheetml/2009/9/main" objectType="CheckBox" fmlaLink="$M$33" lockText="1" noThreeD="1"/>
</file>

<file path=xl/ctrlProps/ctrlProp184.xml><?xml version="1.0" encoding="utf-8"?>
<formControlPr xmlns="http://schemas.microsoft.com/office/spreadsheetml/2009/9/main" objectType="CheckBox" fmlaLink="$M$34" lockText="1" noThreeD="1"/>
</file>

<file path=xl/ctrlProps/ctrlProp185.xml><?xml version="1.0" encoding="utf-8"?>
<formControlPr xmlns="http://schemas.microsoft.com/office/spreadsheetml/2009/9/main" objectType="CheckBox" fmlaLink="$M$35" lockText="1" noThreeD="1"/>
</file>

<file path=xl/ctrlProps/ctrlProp186.xml><?xml version="1.0" encoding="utf-8"?>
<formControlPr xmlns="http://schemas.microsoft.com/office/spreadsheetml/2009/9/main" objectType="CheckBox" fmlaLink="$M$36" lockText="1" noThreeD="1"/>
</file>

<file path=xl/ctrlProps/ctrlProp187.xml><?xml version="1.0" encoding="utf-8"?>
<formControlPr xmlns="http://schemas.microsoft.com/office/spreadsheetml/2009/9/main" objectType="CheckBox" fmlaLink="$M$37" lockText="1" noThreeD="1"/>
</file>

<file path=xl/ctrlProps/ctrlProp188.xml><?xml version="1.0" encoding="utf-8"?>
<formControlPr xmlns="http://schemas.microsoft.com/office/spreadsheetml/2009/9/main" objectType="CheckBox" fmlaLink="$M$38" lockText="1" noThreeD="1"/>
</file>

<file path=xl/ctrlProps/ctrlProp189.xml><?xml version="1.0" encoding="utf-8"?>
<formControlPr xmlns="http://schemas.microsoft.com/office/spreadsheetml/2009/9/main" objectType="CheckBox" fmlaLink="$M$39" lockText="1" noThreeD="1"/>
</file>

<file path=xl/ctrlProps/ctrlProp19.xml><?xml version="1.0" encoding="utf-8"?>
<formControlPr xmlns="http://schemas.microsoft.com/office/spreadsheetml/2009/9/main" objectType="CheckBox" checked="Checked" fmlaLink="$C$14" lockText="1" noThreeD="1"/>
</file>

<file path=xl/ctrlProps/ctrlProp190.xml><?xml version="1.0" encoding="utf-8"?>
<formControlPr xmlns="http://schemas.microsoft.com/office/spreadsheetml/2009/9/main" objectType="CheckBox" fmlaLink="$M$40" lockText="1" noThreeD="1"/>
</file>

<file path=xl/ctrlProps/ctrlProp191.xml><?xml version="1.0" encoding="utf-8"?>
<formControlPr xmlns="http://schemas.microsoft.com/office/spreadsheetml/2009/9/main" objectType="CheckBox" fmlaLink="$M$41" lockText="1" noThreeD="1"/>
</file>

<file path=xl/ctrlProps/ctrlProp192.xml><?xml version="1.0" encoding="utf-8"?>
<formControlPr xmlns="http://schemas.microsoft.com/office/spreadsheetml/2009/9/main" objectType="CheckBox" fmlaLink="$M$43" lockText="1" noThreeD="1"/>
</file>

<file path=xl/ctrlProps/ctrlProp193.xml><?xml version="1.0" encoding="utf-8"?>
<formControlPr xmlns="http://schemas.microsoft.com/office/spreadsheetml/2009/9/main" objectType="CheckBox" fmlaLink="$M$42" lockText="1" noThreeD="1"/>
</file>

<file path=xl/ctrlProps/ctrlProp194.xml><?xml version="1.0" encoding="utf-8"?>
<formControlPr xmlns="http://schemas.microsoft.com/office/spreadsheetml/2009/9/main" objectType="CheckBox" fmlaLink="$M$44" lockText="1" noThreeD="1"/>
</file>

<file path=xl/ctrlProps/ctrlProp195.xml><?xml version="1.0" encoding="utf-8"?>
<formControlPr xmlns="http://schemas.microsoft.com/office/spreadsheetml/2009/9/main" objectType="CheckBox" fmlaLink="$M$45" lockText="1" noThreeD="1"/>
</file>

<file path=xl/ctrlProps/ctrlProp196.xml><?xml version="1.0" encoding="utf-8"?>
<formControlPr xmlns="http://schemas.microsoft.com/office/spreadsheetml/2009/9/main" objectType="CheckBox" fmlaLink="$M$46" lockText="1" noThreeD="1"/>
</file>

<file path=xl/ctrlProps/ctrlProp197.xml><?xml version="1.0" encoding="utf-8"?>
<formControlPr xmlns="http://schemas.microsoft.com/office/spreadsheetml/2009/9/main" objectType="CheckBox" checked="Checked" fmlaLink="$R$7" lockText="1" noThreeD="1"/>
</file>

<file path=xl/ctrlProps/ctrlProp198.xml><?xml version="1.0" encoding="utf-8"?>
<formControlPr xmlns="http://schemas.microsoft.com/office/spreadsheetml/2009/9/main" objectType="CheckBox" fmlaLink="$R$8" lockText="1" noThreeD="1"/>
</file>

<file path=xl/ctrlProps/ctrlProp199.xml><?xml version="1.0" encoding="utf-8"?>
<formControlPr xmlns="http://schemas.microsoft.com/office/spreadsheetml/2009/9/main" objectType="CheckBox" checked="Checked" fmlaLink="$R$9" lockText="1" noThreeD="1"/>
</file>

<file path=xl/ctrlProps/ctrlProp2.xml><?xml version="1.0" encoding="utf-8"?>
<formControlPr xmlns="http://schemas.microsoft.com/office/spreadsheetml/2009/9/main" objectType="Drop" dropLines="17" dropStyle="combo" dx="16" fmlaLink="SelectionTables!$I$3" fmlaRange="SelectionTables!$I$6:$I$22" sel="1" val="0"/>
</file>

<file path=xl/ctrlProps/ctrlProp20.xml><?xml version="1.0" encoding="utf-8"?>
<formControlPr xmlns="http://schemas.microsoft.com/office/spreadsheetml/2009/9/main" objectType="CheckBox" checked="Checked" fmlaLink="$C$16" lockText="1" noThreeD="1"/>
</file>

<file path=xl/ctrlProps/ctrlProp200.xml><?xml version="1.0" encoding="utf-8"?>
<formControlPr xmlns="http://schemas.microsoft.com/office/spreadsheetml/2009/9/main" objectType="CheckBox" fmlaLink="$R$10" lockText="1" noThreeD="1"/>
</file>

<file path=xl/ctrlProps/ctrlProp201.xml><?xml version="1.0" encoding="utf-8"?>
<formControlPr xmlns="http://schemas.microsoft.com/office/spreadsheetml/2009/9/main" objectType="CheckBox" fmlaLink="$R$11" lockText="1" noThreeD="1"/>
</file>

<file path=xl/ctrlProps/ctrlProp202.xml><?xml version="1.0" encoding="utf-8"?>
<formControlPr xmlns="http://schemas.microsoft.com/office/spreadsheetml/2009/9/main" objectType="CheckBox" fmlaLink="$R$12" lockText="1" noThreeD="1"/>
</file>

<file path=xl/ctrlProps/ctrlProp203.xml><?xml version="1.0" encoding="utf-8"?>
<formControlPr xmlns="http://schemas.microsoft.com/office/spreadsheetml/2009/9/main" objectType="CheckBox" fmlaLink="$R$13" lockText="1" noThreeD="1"/>
</file>

<file path=xl/ctrlProps/ctrlProp204.xml><?xml version="1.0" encoding="utf-8"?>
<formControlPr xmlns="http://schemas.microsoft.com/office/spreadsheetml/2009/9/main" objectType="CheckBox" fmlaLink="$R$14" lockText="1" noThreeD="1"/>
</file>

<file path=xl/ctrlProps/ctrlProp205.xml><?xml version="1.0" encoding="utf-8"?>
<formControlPr xmlns="http://schemas.microsoft.com/office/spreadsheetml/2009/9/main" objectType="CheckBox" fmlaLink="$R$15" lockText="1" noThreeD="1"/>
</file>

<file path=xl/ctrlProps/ctrlProp206.xml><?xml version="1.0" encoding="utf-8"?>
<formControlPr xmlns="http://schemas.microsoft.com/office/spreadsheetml/2009/9/main" objectType="CheckBox" fmlaLink="$R$16" lockText="1" noThreeD="1"/>
</file>

<file path=xl/ctrlProps/ctrlProp207.xml><?xml version="1.0" encoding="utf-8"?>
<formControlPr xmlns="http://schemas.microsoft.com/office/spreadsheetml/2009/9/main" objectType="CheckBox" checked="Checked" fmlaLink="$W$7" lockText="1" noThreeD="1"/>
</file>

<file path=xl/ctrlProps/ctrlProp208.xml><?xml version="1.0" encoding="utf-8"?>
<formControlPr xmlns="http://schemas.microsoft.com/office/spreadsheetml/2009/9/main" objectType="CheckBox" checked="Checked" fmlaLink="$W$8" lockText="1" noThreeD="1"/>
</file>

<file path=xl/ctrlProps/ctrlProp209.xml><?xml version="1.0" encoding="utf-8"?>
<formControlPr xmlns="http://schemas.microsoft.com/office/spreadsheetml/2009/9/main" objectType="CheckBox" checked="Checked" fmlaLink="$W$9" lockText="1" noThreeD="1"/>
</file>

<file path=xl/ctrlProps/ctrlProp21.xml><?xml version="1.0" encoding="utf-8"?>
<formControlPr xmlns="http://schemas.microsoft.com/office/spreadsheetml/2009/9/main" objectType="CheckBox" checked="Checked" fmlaLink="$C$11" lockText="1" noThreeD="1"/>
</file>

<file path=xl/ctrlProps/ctrlProp210.xml><?xml version="1.0" encoding="utf-8"?>
<formControlPr xmlns="http://schemas.microsoft.com/office/spreadsheetml/2009/9/main" objectType="CheckBox" checked="Checked" fmlaLink="$W$10" lockText="1" noThreeD="1"/>
</file>

<file path=xl/ctrlProps/ctrlProp211.xml><?xml version="1.0" encoding="utf-8"?>
<formControlPr xmlns="http://schemas.microsoft.com/office/spreadsheetml/2009/9/main" objectType="CheckBox" checked="Checked" fmlaLink="$W$11" lockText="1" noThreeD="1"/>
</file>

<file path=xl/ctrlProps/ctrlProp212.xml><?xml version="1.0" encoding="utf-8"?>
<formControlPr xmlns="http://schemas.microsoft.com/office/spreadsheetml/2009/9/main" objectType="CheckBox" checked="Checked" fmlaLink="$W$12" lockText="1" noThreeD="1"/>
</file>

<file path=xl/ctrlProps/ctrlProp213.xml><?xml version="1.0" encoding="utf-8"?>
<formControlPr xmlns="http://schemas.microsoft.com/office/spreadsheetml/2009/9/main" objectType="CheckBox" checked="Checked" fmlaLink="$W$13" lockText="1" noThreeD="1"/>
</file>

<file path=xl/ctrlProps/ctrlProp214.xml><?xml version="1.0" encoding="utf-8"?>
<formControlPr xmlns="http://schemas.microsoft.com/office/spreadsheetml/2009/9/main" objectType="CheckBox" checked="Checked" fmlaLink="$W$14" lockText="1" noThreeD="1"/>
</file>

<file path=xl/ctrlProps/ctrlProp215.xml><?xml version="1.0" encoding="utf-8"?>
<formControlPr xmlns="http://schemas.microsoft.com/office/spreadsheetml/2009/9/main" objectType="CheckBox" checked="Checked" fmlaLink="$W$15" lockText="1" noThreeD="1"/>
</file>

<file path=xl/ctrlProps/ctrlProp216.xml><?xml version="1.0" encoding="utf-8"?>
<formControlPr xmlns="http://schemas.microsoft.com/office/spreadsheetml/2009/9/main" objectType="CheckBox" checked="Checked" fmlaLink="$W$16" lockText="1" noThreeD="1"/>
</file>

<file path=xl/ctrlProps/ctrlProp217.xml><?xml version="1.0" encoding="utf-8"?>
<formControlPr xmlns="http://schemas.microsoft.com/office/spreadsheetml/2009/9/main" objectType="CheckBox" checked="Checked" fmlaLink="$W$17" lockText="1" noThreeD="1"/>
</file>

<file path=xl/ctrlProps/ctrlProp218.xml><?xml version="1.0" encoding="utf-8"?>
<formControlPr xmlns="http://schemas.microsoft.com/office/spreadsheetml/2009/9/main" objectType="CheckBox" checked="Checked" fmlaLink="$W$18" lockText="1" noThreeD="1"/>
</file>

<file path=xl/ctrlProps/ctrlProp219.xml><?xml version="1.0" encoding="utf-8"?>
<formControlPr xmlns="http://schemas.microsoft.com/office/spreadsheetml/2009/9/main" objectType="CheckBox" checked="Checked" fmlaLink="$W$19" lockText="1" noThreeD="1"/>
</file>

<file path=xl/ctrlProps/ctrlProp22.xml><?xml version="1.0" encoding="utf-8"?>
<formControlPr xmlns="http://schemas.microsoft.com/office/spreadsheetml/2009/9/main" objectType="CheckBox" checked="Checked" fmlaLink="$C$13" lockText="1" noThreeD="1"/>
</file>

<file path=xl/ctrlProps/ctrlProp220.xml><?xml version="1.0" encoding="utf-8"?>
<formControlPr xmlns="http://schemas.microsoft.com/office/spreadsheetml/2009/9/main" objectType="CheckBox" checked="Checked" fmlaLink="$W$20" lockText="1" noThreeD="1"/>
</file>

<file path=xl/ctrlProps/ctrlProp221.xml><?xml version="1.0" encoding="utf-8"?>
<formControlPr xmlns="http://schemas.microsoft.com/office/spreadsheetml/2009/9/main" objectType="CheckBox" checked="Checked" fmlaLink="$W$21" lockText="1" noThreeD="1"/>
</file>

<file path=xl/ctrlProps/ctrlProp222.xml><?xml version="1.0" encoding="utf-8"?>
<formControlPr xmlns="http://schemas.microsoft.com/office/spreadsheetml/2009/9/main" objectType="CheckBox" checked="Checked" fmlaLink="$W$22" lockText="1" noThreeD="1"/>
</file>

<file path=xl/ctrlProps/ctrlProp223.xml><?xml version="1.0" encoding="utf-8"?>
<formControlPr xmlns="http://schemas.microsoft.com/office/spreadsheetml/2009/9/main" objectType="CheckBox" checked="Checked" fmlaLink="$W$23" lockText="1" noThreeD="1"/>
</file>

<file path=xl/ctrlProps/ctrlProp224.xml><?xml version="1.0" encoding="utf-8"?>
<formControlPr xmlns="http://schemas.microsoft.com/office/spreadsheetml/2009/9/main" objectType="CheckBox" checked="Checked" fmlaLink="$W$24" lockText="1" noThreeD="1"/>
</file>

<file path=xl/ctrlProps/ctrlProp225.xml><?xml version="1.0" encoding="utf-8"?>
<formControlPr xmlns="http://schemas.microsoft.com/office/spreadsheetml/2009/9/main" objectType="CheckBox" checked="Checked" fmlaLink="$W$25" lockText="1" noThreeD="1"/>
</file>

<file path=xl/ctrlProps/ctrlProp226.xml><?xml version="1.0" encoding="utf-8"?>
<formControlPr xmlns="http://schemas.microsoft.com/office/spreadsheetml/2009/9/main" objectType="CheckBox" checked="Checked" fmlaLink="$W$26" lockText="1" noThreeD="1"/>
</file>

<file path=xl/ctrlProps/ctrlProp227.xml><?xml version="1.0" encoding="utf-8"?>
<formControlPr xmlns="http://schemas.microsoft.com/office/spreadsheetml/2009/9/main" objectType="CheckBox" checked="Checked" fmlaLink="$W$27" lockText="1" noThreeD="1"/>
</file>

<file path=xl/ctrlProps/ctrlProp228.xml><?xml version="1.0" encoding="utf-8"?>
<formControlPr xmlns="http://schemas.microsoft.com/office/spreadsheetml/2009/9/main" objectType="CheckBox" checked="Checked" fmlaLink="$W$28" lockText="1" noThreeD="1"/>
</file>

<file path=xl/ctrlProps/ctrlProp229.xml><?xml version="1.0" encoding="utf-8"?>
<formControlPr xmlns="http://schemas.microsoft.com/office/spreadsheetml/2009/9/main" objectType="CheckBox" checked="Checked" fmlaLink="$W$29" lockText="1" noThreeD="1"/>
</file>

<file path=xl/ctrlProps/ctrlProp23.xml><?xml version="1.0" encoding="utf-8"?>
<formControlPr xmlns="http://schemas.microsoft.com/office/spreadsheetml/2009/9/main" objectType="CheckBox" checked="Checked" fmlaLink="$C$15" lockText="1" noThreeD="1"/>
</file>

<file path=xl/ctrlProps/ctrlProp230.xml><?xml version="1.0" encoding="utf-8"?>
<formControlPr xmlns="http://schemas.microsoft.com/office/spreadsheetml/2009/9/main" objectType="CheckBox" checked="Checked" fmlaLink="$W$30" lockText="1" noThreeD="1"/>
</file>

<file path=xl/ctrlProps/ctrlProp231.xml><?xml version="1.0" encoding="utf-8"?>
<formControlPr xmlns="http://schemas.microsoft.com/office/spreadsheetml/2009/9/main" objectType="CheckBox" fmlaLink="$W$31" lockText="1" noThreeD="1"/>
</file>

<file path=xl/ctrlProps/ctrlProp232.xml><?xml version="1.0" encoding="utf-8"?>
<formControlPr xmlns="http://schemas.microsoft.com/office/spreadsheetml/2009/9/main" objectType="CheckBox" fmlaLink="$W$32" lockText="1" noThreeD="1"/>
</file>

<file path=xl/ctrlProps/ctrlProp233.xml><?xml version="1.0" encoding="utf-8"?>
<formControlPr xmlns="http://schemas.microsoft.com/office/spreadsheetml/2009/9/main" objectType="CheckBox" fmlaLink="$W$33" lockText="1" noThreeD="1"/>
</file>

<file path=xl/ctrlProps/ctrlProp234.xml><?xml version="1.0" encoding="utf-8"?>
<formControlPr xmlns="http://schemas.microsoft.com/office/spreadsheetml/2009/9/main" objectType="CheckBox" fmlaLink="$W$34" lockText="1" noThreeD="1"/>
</file>

<file path=xl/ctrlProps/ctrlProp235.xml><?xml version="1.0" encoding="utf-8"?>
<formControlPr xmlns="http://schemas.microsoft.com/office/spreadsheetml/2009/9/main" objectType="CheckBox" fmlaLink="$W$35" lockText="1" noThreeD="1"/>
</file>

<file path=xl/ctrlProps/ctrlProp236.xml><?xml version="1.0" encoding="utf-8"?>
<formControlPr xmlns="http://schemas.microsoft.com/office/spreadsheetml/2009/9/main" objectType="CheckBox" fmlaLink="$W$36" lockText="1" noThreeD="1"/>
</file>

<file path=xl/ctrlProps/ctrlProp237.xml><?xml version="1.0" encoding="utf-8"?>
<formControlPr xmlns="http://schemas.microsoft.com/office/spreadsheetml/2009/9/main" objectType="CheckBox" fmlaLink="$W$37" lockText="1" noThreeD="1"/>
</file>

<file path=xl/ctrlProps/ctrlProp238.xml><?xml version="1.0" encoding="utf-8"?>
<formControlPr xmlns="http://schemas.microsoft.com/office/spreadsheetml/2009/9/main" objectType="CheckBox" fmlaLink="$W$38" lockText="1" noThreeD="1"/>
</file>

<file path=xl/ctrlProps/ctrlProp239.xml><?xml version="1.0" encoding="utf-8"?>
<formControlPr xmlns="http://schemas.microsoft.com/office/spreadsheetml/2009/9/main" objectType="CheckBox" fmlaLink="$W$39" lockText="1" noThreeD="1"/>
</file>

<file path=xl/ctrlProps/ctrlProp24.xml><?xml version="1.0" encoding="utf-8"?>
<formControlPr xmlns="http://schemas.microsoft.com/office/spreadsheetml/2009/9/main" objectType="CheckBox" checked="Checked" fmlaLink="$C$17" lockText="1" noThreeD="1"/>
</file>

<file path=xl/ctrlProps/ctrlProp240.xml><?xml version="1.0" encoding="utf-8"?>
<formControlPr xmlns="http://schemas.microsoft.com/office/spreadsheetml/2009/9/main" objectType="CheckBox" fmlaLink="$W$41" lockText="1" noThreeD="1"/>
</file>

<file path=xl/ctrlProps/ctrlProp241.xml><?xml version="1.0" encoding="utf-8"?>
<formControlPr xmlns="http://schemas.microsoft.com/office/spreadsheetml/2009/9/main" objectType="CheckBox" fmlaLink="$W$40" lockText="1" noThreeD="1"/>
</file>

<file path=xl/ctrlProps/ctrlProp242.xml><?xml version="1.0" encoding="utf-8"?>
<formControlPr xmlns="http://schemas.microsoft.com/office/spreadsheetml/2009/9/main" objectType="CheckBox" fmlaLink="$W$42" lockText="1" noThreeD="1"/>
</file>

<file path=xl/ctrlProps/ctrlProp243.xml><?xml version="1.0" encoding="utf-8"?>
<formControlPr xmlns="http://schemas.microsoft.com/office/spreadsheetml/2009/9/main" objectType="CheckBox" fmlaLink="$W$43" lockText="1" noThreeD="1"/>
</file>

<file path=xl/ctrlProps/ctrlProp244.xml><?xml version="1.0" encoding="utf-8"?>
<formControlPr xmlns="http://schemas.microsoft.com/office/spreadsheetml/2009/9/main" objectType="CheckBox" fmlaLink="$W$44" lockText="1" noThreeD="1"/>
</file>

<file path=xl/ctrlProps/ctrlProp245.xml><?xml version="1.0" encoding="utf-8"?>
<formControlPr xmlns="http://schemas.microsoft.com/office/spreadsheetml/2009/9/main" objectType="CheckBox" fmlaLink="$W$45" lockText="1" noThreeD="1"/>
</file>

<file path=xl/ctrlProps/ctrlProp246.xml><?xml version="1.0" encoding="utf-8"?>
<formControlPr xmlns="http://schemas.microsoft.com/office/spreadsheetml/2009/9/main" objectType="CheckBox" fmlaLink="$W$46" lockText="1" noThreeD="1"/>
</file>

<file path=xl/ctrlProps/ctrlProp247.xml><?xml version="1.0" encoding="utf-8"?>
<formControlPr xmlns="http://schemas.microsoft.com/office/spreadsheetml/2009/9/main" objectType="CheckBox" checked="Checked" fmlaLink="$AB$7" lockText="1" noThreeD="1"/>
</file>

<file path=xl/ctrlProps/ctrlProp248.xml><?xml version="1.0" encoding="utf-8"?>
<formControlPr xmlns="http://schemas.microsoft.com/office/spreadsheetml/2009/9/main" objectType="CheckBox" checked="Checked" fmlaLink="$AB$8" lockText="1" noThreeD="1"/>
</file>

<file path=xl/ctrlProps/ctrlProp249.xml><?xml version="1.0" encoding="utf-8"?>
<formControlPr xmlns="http://schemas.microsoft.com/office/spreadsheetml/2009/9/main" objectType="CheckBox" checked="Checked" fmlaLink="$AB$9" lockText="1" noThreeD="1"/>
</file>

<file path=xl/ctrlProps/ctrlProp25.xml><?xml version="1.0" encoding="utf-8"?>
<formControlPr xmlns="http://schemas.microsoft.com/office/spreadsheetml/2009/9/main" objectType="CheckBox" checked="Checked" fmlaLink="$C$18" lockText="1" noThreeD="1"/>
</file>

<file path=xl/ctrlProps/ctrlProp250.xml><?xml version="1.0" encoding="utf-8"?>
<formControlPr xmlns="http://schemas.microsoft.com/office/spreadsheetml/2009/9/main" objectType="CheckBox" checked="Checked" fmlaLink="$AB$10" lockText="1" noThreeD="1"/>
</file>

<file path=xl/ctrlProps/ctrlProp251.xml><?xml version="1.0" encoding="utf-8"?>
<formControlPr xmlns="http://schemas.microsoft.com/office/spreadsheetml/2009/9/main" objectType="CheckBox" fmlaLink="$AB$11" lockText="1" noThreeD="1"/>
</file>

<file path=xl/ctrlProps/ctrlProp252.xml><?xml version="1.0" encoding="utf-8"?>
<formControlPr xmlns="http://schemas.microsoft.com/office/spreadsheetml/2009/9/main" objectType="CheckBox" fmlaLink="$AB$12" lockText="1" noThreeD="1"/>
</file>

<file path=xl/ctrlProps/ctrlProp253.xml><?xml version="1.0" encoding="utf-8"?>
<formControlPr xmlns="http://schemas.microsoft.com/office/spreadsheetml/2009/9/main" objectType="CheckBox" checked="Checked" fmlaLink="$AB$13" lockText="1" noThreeD="1"/>
</file>

<file path=xl/ctrlProps/ctrlProp254.xml><?xml version="1.0" encoding="utf-8"?>
<formControlPr xmlns="http://schemas.microsoft.com/office/spreadsheetml/2009/9/main" objectType="CheckBox" fmlaLink="$AB$14" lockText="1" noThreeD="1"/>
</file>

<file path=xl/ctrlProps/ctrlProp255.xml><?xml version="1.0" encoding="utf-8"?>
<formControlPr xmlns="http://schemas.microsoft.com/office/spreadsheetml/2009/9/main" objectType="CheckBox" fmlaLink="$AB$15" lockText="1" noThreeD="1"/>
</file>

<file path=xl/ctrlProps/ctrlProp256.xml><?xml version="1.0" encoding="utf-8"?>
<formControlPr xmlns="http://schemas.microsoft.com/office/spreadsheetml/2009/9/main" objectType="CheckBox" fmlaLink="$AB$16" lockText="1" noThreeD="1"/>
</file>

<file path=xl/ctrlProps/ctrlProp257.xml><?xml version="1.0" encoding="utf-8"?>
<formControlPr xmlns="http://schemas.microsoft.com/office/spreadsheetml/2009/9/main" objectType="CheckBox" fmlaLink="$AB$17" lockText="1" noThreeD="1"/>
</file>

<file path=xl/ctrlProps/ctrlProp258.xml><?xml version="1.0" encoding="utf-8"?>
<formControlPr xmlns="http://schemas.microsoft.com/office/spreadsheetml/2009/9/main" objectType="CheckBox" fmlaLink="$AB$18" lockText="1" noThreeD="1"/>
</file>

<file path=xl/ctrlProps/ctrlProp259.xml><?xml version="1.0" encoding="utf-8"?>
<formControlPr xmlns="http://schemas.microsoft.com/office/spreadsheetml/2009/9/main" objectType="CheckBox" fmlaLink="$AB$19" lockText="1" noThreeD="1"/>
</file>

<file path=xl/ctrlProps/ctrlProp26.xml><?xml version="1.0" encoding="utf-8"?>
<formControlPr xmlns="http://schemas.microsoft.com/office/spreadsheetml/2009/9/main" objectType="CheckBox" fmlaLink="$C$19" lockText="1" noThreeD="1"/>
</file>

<file path=xl/ctrlProps/ctrlProp260.xml><?xml version="1.0" encoding="utf-8"?>
<formControlPr xmlns="http://schemas.microsoft.com/office/spreadsheetml/2009/9/main" objectType="CheckBox" fmlaLink="$AB$20" lockText="1" noThreeD="1"/>
</file>

<file path=xl/ctrlProps/ctrlProp261.xml><?xml version="1.0" encoding="utf-8"?>
<formControlPr xmlns="http://schemas.microsoft.com/office/spreadsheetml/2009/9/main" objectType="CheckBox" fmlaLink="$AB$21" lockText="1" noThreeD="1"/>
</file>

<file path=xl/ctrlProps/ctrlProp262.xml><?xml version="1.0" encoding="utf-8"?>
<formControlPr xmlns="http://schemas.microsoft.com/office/spreadsheetml/2009/9/main" objectType="CheckBox" fmlaLink="$AB$22" lockText="1" noThreeD="1"/>
</file>

<file path=xl/ctrlProps/ctrlProp263.xml><?xml version="1.0" encoding="utf-8"?>
<formControlPr xmlns="http://schemas.microsoft.com/office/spreadsheetml/2009/9/main" objectType="CheckBox" fmlaLink="$AB$23" lockText="1" noThreeD="1"/>
</file>

<file path=xl/ctrlProps/ctrlProp264.xml><?xml version="1.0" encoding="utf-8"?>
<formControlPr xmlns="http://schemas.microsoft.com/office/spreadsheetml/2009/9/main" objectType="CheckBox" fmlaLink="$AB$24" lockText="1" noThreeD="1"/>
</file>

<file path=xl/ctrlProps/ctrlProp265.xml><?xml version="1.0" encoding="utf-8"?>
<formControlPr xmlns="http://schemas.microsoft.com/office/spreadsheetml/2009/9/main" objectType="CheckBox" fmlaLink="$AB$25" lockText="1" noThreeD="1"/>
</file>

<file path=xl/ctrlProps/ctrlProp266.xml><?xml version="1.0" encoding="utf-8"?>
<formControlPr xmlns="http://schemas.microsoft.com/office/spreadsheetml/2009/9/main" objectType="CheckBox" fmlaLink="$AB$26" lockText="1" noThreeD="1"/>
</file>

<file path=xl/ctrlProps/ctrlProp267.xml><?xml version="1.0" encoding="utf-8"?>
<formControlPr xmlns="http://schemas.microsoft.com/office/spreadsheetml/2009/9/main" objectType="CheckBox" fmlaLink="$AB$27" lockText="1" noThreeD="1"/>
</file>

<file path=xl/ctrlProps/ctrlProp268.xml><?xml version="1.0" encoding="utf-8"?>
<formControlPr xmlns="http://schemas.microsoft.com/office/spreadsheetml/2009/9/main" objectType="CheckBox" fmlaLink="$AB$28" lockText="1" noThreeD="1"/>
</file>

<file path=xl/ctrlProps/ctrlProp269.xml><?xml version="1.0" encoding="utf-8"?>
<formControlPr xmlns="http://schemas.microsoft.com/office/spreadsheetml/2009/9/main" objectType="CheckBox" fmlaLink="$AB$29" lockText="1" noThreeD="1"/>
</file>

<file path=xl/ctrlProps/ctrlProp27.xml><?xml version="1.0" encoding="utf-8"?>
<formControlPr xmlns="http://schemas.microsoft.com/office/spreadsheetml/2009/9/main" objectType="CheckBox" fmlaLink="$C$20" lockText="1" noThreeD="1"/>
</file>

<file path=xl/ctrlProps/ctrlProp270.xml><?xml version="1.0" encoding="utf-8"?>
<formControlPr xmlns="http://schemas.microsoft.com/office/spreadsheetml/2009/9/main" objectType="CheckBox" fmlaLink="$AB$30" lockText="1" noThreeD="1"/>
</file>

<file path=xl/ctrlProps/ctrlProp271.xml><?xml version="1.0" encoding="utf-8"?>
<formControlPr xmlns="http://schemas.microsoft.com/office/spreadsheetml/2009/9/main" objectType="CheckBox" fmlaLink="$AB$31" lockText="1" noThreeD="1"/>
</file>

<file path=xl/ctrlProps/ctrlProp272.xml><?xml version="1.0" encoding="utf-8"?>
<formControlPr xmlns="http://schemas.microsoft.com/office/spreadsheetml/2009/9/main" objectType="CheckBox" fmlaLink="$AB$32" lockText="1" noThreeD="1"/>
</file>

<file path=xl/ctrlProps/ctrlProp273.xml><?xml version="1.0" encoding="utf-8"?>
<formControlPr xmlns="http://schemas.microsoft.com/office/spreadsheetml/2009/9/main" objectType="CheckBox" fmlaLink="$AB$33" lockText="1" noThreeD="1"/>
</file>

<file path=xl/ctrlProps/ctrlProp274.xml><?xml version="1.0" encoding="utf-8"?>
<formControlPr xmlns="http://schemas.microsoft.com/office/spreadsheetml/2009/9/main" objectType="CheckBox" fmlaLink="$AB$34" lockText="1" noThreeD="1"/>
</file>

<file path=xl/ctrlProps/ctrlProp275.xml><?xml version="1.0" encoding="utf-8"?>
<formControlPr xmlns="http://schemas.microsoft.com/office/spreadsheetml/2009/9/main" objectType="CheckBox" fmlaLink="$AB$35" lockText="1" noThreeD="1"/>
</file>

<file path=xl/ctrlProps/ctrlProp276.xml><?xml version="1.0" encoding="utf-8"?>
<formControlPr xmlns="http://schemas.microsoft.com/office/spreadsheetml/2009/9/main" objectType="CheckBox" fmlaLink="$AB$36" lockText="1" noThreeD="1"/>
</file>

<file path=xl/ctrlProps/ctrlProp277.xml><?xml version="1.0" encoding="utf-8"?>
<formControlPr xmlns="http://schemas.microsoft.com/office/spreadsheetml/2009/9/main" objectType="CheckBox" fmlaLink="$AB$37" lockText="1" noThreeD="1"/>
</file>

<file path=xl/ctrlProps/ctrlProp278.xml><?xml version="1.0" encoding="utf-8"?>
<formControlPr xmlns="http://schemas.microsoft.com/office/spreadsheetml/2009/9/main" objectType="CheckBox" fmlaLink="$AB$38" lockText="1" noThreeD="1"/>
</file>

<file path=xl/ctrlProps/ctrlProp279.xml><?xml version="1.0" encoding="utf-8"?>
<formControlPr xmlns="http://schemas.microsoft.com/office/spreadsheetml/2009/9/main" objectType="CheckBox" fmlaLink="$AB$39" lockText="1" noThreeD="1"/>
</file>

<file path=xl/ctrlProps/ctrlProp28.xml><?xml version="1.0" encoding="utf-8"?>
<formControlPr xmlns="http://schemas.microsoft.com/office/spreadsheetml/2009/9/main" objectType="CheckBox" fmlaLink="$C$21" lockText="1" noThreeD="1"/>
</file>

<file path=xl/ctrlProps/ctrlProp280.xml><?xml version="1.0" encoding="utf-8"?>
<formControlPr xmlns="http://schemas.microsoft.com/office/spreadsheetml/2009/9/main" objectType="CheckBox" fmlaLink="$AB$40" lockText="1" noThreeD="1"/>
</file>

<file path=xl/ctrlProps/ctrlProp281.xml><?xml version="1.0" encoding="utf-8"?>
<formControlPr xmlns="http://schemas.microsoft.com/office/spreadsheetml/2009/9/main" objectType="CheckBox" fmlaLink="$AB$41" lockText="1" noThreeD="1"/>
</file>

<file path=xl/ctrlProps/ctrlProp282.xml><?xml version="1.0" encoding="utf-8"?>
<formControlPr xmlns="http://schemas.microsoft.com/office/spreadsheetml/2009/9/main" objectType="CheckBox" fmlaLink="$AB$42" lockText="1" noThreeD="1"/>
</file>

<file path=xl/ctrlProps/ctrlProp283.xml><?xml version="1.0" encoding="utf-8"?>
<formControlPr xmlns="http://schemas.microsoft.com/office/spreadsheetml/2009/9/main" objectType="CheckBox" fmlaLink="$AB$43" lockText="1" noThreeD="1"/>
</file>

<file path=xl/ctrlProps/ctrlProp284.xml><?xml version="1.0" encoding="utf-8"?>
<formControlPr xmlns="http://schemas.microsoft.com/office/spreadsheetml/2009/9/main" objectType="CheckBox" fmlaLink="$AB$44" lockText="1" noThreeD="1"/>
</file>

<file path=xl/ctrlProps/ctrlProp285.xml><?xml version="1.0" encoding="utf-8"?>
<formControlPr xmlns="http://schemas.microsoft.com/office/spreadsheetml/2009/9/main" objectType="CheckBox" fmlaLink="$AB$45" lockText="1" noThreeD="1"/>
</file>

<file path=xl/ctrlProps/ctrlProp286.xml><?xml version="1.0" encoding="utf-8"?>
<formControlPr xmlns="http://schemas.microsoft.com/office/spreadsheetml/2009/9/main" objectType="CheckBox" fmlaLink="$AB$46" lockText="1" noThreeD="1"/>
</file>

<file path=xl/ctrlProps/ctrlProp287.xml><?xml version="1.0" encoding="utf-8"?>
<formControlPr xmlns="http://schemas.microsoft.com/office/spreadsheetml/2009/9/main" objectType="CheckBox" checked="Checked" fmlaLink="$AG$7" lockText="1" noThreeD="1"/>
</file>

<file path=xl/ctrlProps/ctrlProp288.xml><?xml version="1.0" encoding="utf-8"?>
<formControlPr xmlns="http://schemas.microsoft.com/office/spreadsheetml/2009/9/main" objectType="CheckBox" checked="Checked" fmlaLink="$AG$8" lockText="1" noThreeD="1"/>
</file>

<file path=xl/ctrlProps/ctrlProp289.xml><?xml version="1.0" encoding="utf-8"?>
<formControlPr xmlns="http://schemas.microsoft.com/office/spreadsheetml/2009/9/main" objectType="CheckBox" checked="Checked" fmlaLink="$AG$9" lockText="1" noThreeD="1"/>
</file>

<file path=xl/ctrlProps/ctrlProp29.xml><?xml version="1.0" encoding="utf-8"?>
<formControlPr xmlns="http://schemas.microsoft.com/office/spreadsheetml/2009/9/main" objectType="CheckBox" fmlaLink="$C$22" lockText="1" noThreeD="1"/>
</file>

<file path=xl/ctrlProps/ctrlProp290.xml><?xml version="1.0" encoding="utf-8"?>
<formControlPr xmlns="http://schemas.microsoft.com/office/spreadsheetml/2009/9/main" objectType="CheckBox" checked="Checked" fmlaLink="$AG$10" lockText="1" noThreeD="1"/>
</file>

<file path=xl/ctrlProps/ctrlProp291.xml><?xml version="1.0" encoding="utf-8"?>
<formControlPr xmlns="http://schemas.microsoft.com/office/spreadsheetml/2009/9/main" objectType="CheckBox" fmlaLink="$AG$11" lockText="1" noThreeD="1"/>
</file>

<file path=xl/ctrlProps/ctrlProp292.xml><?xml version="1.0" encoding="utf-8"?>
<formControlPr xmlns="http://schemas.microsoft.com/office/spreadsheetml/2009/9/main" objectType="CheckBox" fmlaLink="$AG$12" lockText="1" noThreeD="1"/>
</file>

<file path=xl/ctrlProps/ctrlProp293.xml><?xml version="1.0" encoding="utf-8"?>
<formControlPr xmlns="http://schemas.microsoft.com/office/spreadsheetml/2009/9/main" objectType="CheckBox" fmlaLink="$AG$13" lockText="1" noThreeD="1"/>
</file>

<file path=xl/ctrlProps/ctrlProp294.xml><?xml version="1.0" encoding="utf-8"?>
<formControlPr xmlns="http://schemas.microsoft.com/office/spreadsheetml/2009/9/main" objectType="CheckBox" fmlaLink="$AG$14" lockText="1" noThreeD="1"/>
</file>

<file path=xl/ctrlProps/ctrlProp295.xml><?xml version="1.0" encoding="utf-8"?>
<formControlPr xmlns="http://schemas.microsoft.com/office/spreadsheetml/2009/9/main" objectType="CheckBox" checked="Checked" fmlaLink="$AG$15" lockText="1" noThreeD="1"/>
</file>

<file path=xl/ctrlProps/ctrlProp296.xml><?xml version="1.0" encoding="utf-8"?>
<formControlPr xmlns="http://schemas.microsoft.com/office/spreadsheetml/2009/9/main" objectType="CheckBox" checked="Checked" fmlaLink="$AG$16" lockText="1" noThreeD="1"/>
</file>

<file path=xl/ctrlProps/ctrlProp297.xml><?xml version="1.0" encoding="utf-8"?>
<formControlPr xmlns="http://schemas.microsoft.com/office/spreadsheetml/2009/9/main" objectType="CheckBox" fmlaLink="$AG$17" lockText="1" noThreeD="1"/>
</file>

<file path=xl/ctrlProps/ctrlProp298.xml><?xml version="1.0" encoding="utf-8"?>
<formControlPr xmlns="http://schemas.microsoft.com/office/spreadsheetml/2009/9/main" objectType="CheckBox" fmlaLink="$AG$18" lockText="1" noThreeD="1"/>
</file>

<file path=xl/ctrlProps/ctrlProp299.xml><?xml version="1.0" encoding="utf-8"?>
<formControlPr xmlns="http://schemas.microsoft.com/office/spreadsheetml/2009/9/main" objectType="CheckBox" fmlaLink="$AG$19" lockText="1" noThreeD="1"/>
</file>

<file path=xl/ctrlProps/ctrlProp3.xml><?xml version="1.0" encoding="utf-8"?>
<formControlPr xmlns="http://schemas.microsoft.com/office/spreadsheetml/2009/9/main" objectType="Drop" dropLines="15" dropStyle="combo" dx="16" fmlaLink="SelectionTables!$J$3" fmlaRange="SelectionTables!$J$6:$J$17" sel="4" val="0"/>
</file>

<file path=xl/ctrlProps/ctrlProp30.xml><?xml version="1.0" encoding="utf-8"?>
<formControlPr xmlns="http://schemas.microsoft.com/office/spreadsheetml/2009/9/main" objectType="CheckBox" fmlaLink="$C$23" lockText="1" noThreeD="1"/>
</file>

<file path=xl/ctrlProps/ctrlProp300.xml><?xml version="1.0" encoding="utf-8"?>
<formControlPr xmlns="http://schemas.microsoft.com/office/spreadsheetml/2009/9/main" objectType="CheckBox" fmlaLink="$AG$20" lockText="1" noThreeD="1"/>
</file>

<file path=xl/ctrlProps/ctrlProp301.xml><?xml version="1.0" encoding="utf-8"?>
<formControlPr xmlns="http://schemas.microsoft.com/office/spreadsheetml/2009/9/main" objectType="CheckBox" fmlaLink="$AG$21" lockText="1" noThreeD="1"/>
</file>

<file path=xl/ctrlProps/ctrlProp302.xml><?xml version="1.0" encoding="utf-8"?>
<formControlPr xmlns="http://schemas.microsoft.com/office/spreadsheetml/2009/9/main" objectType="CheckBox" fmlaLink="$AG$22" lockText="1" noThreeD="1"/>
</file>

<file path=xl/ctrlProps/ctrlProp303.xml><?xml version="1.0" encoding="utf-8"?>
<formControlPr xmlns="http://schemas.microsoft.com/office/spreadsheetml/2009/9/main" objectType="CheckBox" fmlaLink="$AG$23" lockText="1" noThreeD="1"/>
</file>

<file path=xl/ctrlProps/ctrlProp304.xml><?xml version="1.0" encoding="utf-8"?>
<formControlPr xmlns="http://schemas.microsoft.com/office/spreadsheetml/2009/9/main" objectType="CheckBox" fmlaLink="$AG$24" lockText="1" noThreeD="1"/>
</file>

<file path=xl/ctrlProps/ctrlProp305.xml><?xml version="1.0" encoding="utf-8"?>
<formControlPr xmlns="http://schemas.microsoft.com/office/spreadsheetml/2009/9/main" objectType="CheckBox" fmlaLink="$AG$25" lockText="1" noThreeD="1"/>
</file>

<file path=xl/ctrlProps/ctrlProp306.xml><?xml version="1.0" encoding="utf-8"?>
<formControlPr xmlns="http://schemas.microsoft.com/office/spreadsheetml/2009/9/main" objectType="CheckBox" fmlaLink="$AG$26" lockText="1" noThreeD="1"/>
</file>

<file path=xl/ctrlProps/ctrlProp307.xml><?xml version="1.0" encoding="utf-8"?>
<formControlPr xmlns="http://schemas.microsoft.com/office/spreadsheetml/2009/9/main" objectType="CheckBox" fmlaLink="$AG$27" lockText="1" noThreeD="1"/>
</file>

<file path=xl/ctrlProps/ctrlProp308.xml><?xml version="1.0" encoding="utf-8"?>
<formControlPr xmlns="http://schemas.microsoft.com/office/spreadsheetml/2009/9/main" objectType="CheckBox" fmlaLink="$AG$28" lockText="1" noThreeD="1"/>
</file>

<file path=xl/ctrlProps/ctrlProp309.xml><?xml version="1.0" encoding="utf-8"?>
<formControlPr xmlns="http://schemas.microsoft.com/office/spreadsheetml/2009/9/main" objectType="CheckBox" fmlaLink="$AG$29" lockText="1" noThreeD="1"/>
</file>

<file path=xl/ctrlProps/ctrlProp31.xml><?xml version="1.0" encoding="utf-8"?>
<formControlPr xmlns="http://schemas.microsoft.com/office/spreadsheetml/2009/9/main" objectType="CheckBox" fmlaLink="$C$24" lockText="1" noThreeD="1"/>
</file>

<file path=xl/ctrlProps/ctrlProp310.xml><?xml version="1.0" encoding="utf-8"?>
<formControlPr xmlns="http://schemas.microsoft.com/office/spreadsheetml/2009/9/main" objectType="CheckBox" fmlaLink="$AG$30" lockText="1" noThreeD="1"/>
</file>

<file path=xl/ctrlProps/ctrlProp311.xml><?xml version="1.0" encoding="utf-8"?>
<formControlPr xmlns="http://schemas.microsoft.com/office/spreadsheetml/2009/9/main" objectType="CheckBox" fmlaLink="$AG$31" lockText="1" noThreeD="1"/>
</file>

<file path=xl/ctrlProps/ctrlProp312.xml><?xml version="1.0" encoding="utf-8"?>
<formControlPr xmlns="http://schemas.microsoft.com/office/spreadsheetml/2009/9/main" objectType="CheckBox" fmlaLink="$AG$32" lockText="1" noThreeD="1"/>
</file>

<file path=xl/ctrlProps/ctrlProp313.xml><?xml version="1.0" encoding="utf-8"?>
<formControlPr xmlns="http://schemas.microsoft.com/office/spreadsheetml/2009/9/main" objectType="CheckBox" fmlaLink="$AG$33" lockText="1" noThreeD="1"/>
</file>

<file path=xl/ctrlProps/ctrlProp314.xml><?xml version="1.0" encoding="utf-8"?>
<formControlPr xmlns="http://schemas.microsoft.com/office/spreadsheetml/2009/9/main" objectType="CheckBox" fmlaLink="$AG$34" lockText="1" noThreeD="1"/>
</file>

<file path=xl/ctrlProps/ctrlProp315.xml><?xml version="1.0" encoding="utf-8"?>
<formControlPr xmlns="http://schemas.microsoft.com/office/spreadsheetml/2009/9/main" objectType="CheckBox" fmlaLink="$AG$35" lockText="1" noThreeD="1"/>
</file>

<file path=xl/ctrlProps/ctrlProp316.xml><?xml version="1.0" encoding="utf-8"?>
<formControlPr xmlns="http://schemas.microsoft.com/office/spreadsheetml/2009/9/main" objectType="CheckBox" fmlaLink="$AG$36" lockText="1" noThreeD="1"/>
</file>

<file path=xl/ctrlProps/ctrlProp317.xml><?xml version="1.0" encoding="utf-8"?>
<formControlPr xmlns="http://schemas.microsoft.com/office/spreadsheetml/2009/9/main" objectType="CheckBox" fmlaLink="$AG$37" lockText="1" noThreeD="1"/>
</file>

<file path=xl/ctrlProps/ctrlProp318.xml><?xml version="1.0" encoding="utf-8"?>
<formControlPr xmlns="http://schemas.microsoft.com/office/spreadsheetml/2009/9/main" objectType="CheckBox" fmlaLink="$AG$38" lockText="1" noThreeD="1"/>
</file>

<file path=xl/ctrlProps/ctrlProp319.xml><?xml version="1.0" encoding="utf-8"?>
<formControlPr xmlns="http://schemas.microsoft.com/office/spreadsheetml/2009/9/main" objectType="CheckBox" fmlaLink="$AG$39" lockText="1" noThreeD="1"/>
</file>

<file path=xl/ctrlProps/ctrlProp32.xml><?xml version="1.0" encoding="utf-8"?>
<formControlPr xmlns="http://schemas.microsoft.com/office/spreadsheetml/2009/9/main" objectType="CheckBox" fmlaLink="$C$25" lockText="1" noThreeD="1"/>
</file>

<file path=xl/ctrlProps/ctrlProp320.xml><?xml version="1.0" encoding="utf-8"?>
<formControlPr xmlns="http://schemas.microsoft.com/office/spreadsheetml/2009/9/main" objectType="CheckBox" fmlaLink="$AG$40" lockText="1" noThreeD="1"/>
</file>

<file path=xl/ctrlProps/ctrlProp321.xml><?xml version="1.0" encoding="utf-8"?>
<formControlPr xmlns="http://schemas.microsoft.com/office/spreadsheetml/2009/9/main" objectType="CheckBox" fmlaLink="$AG$41" lockText="1" noThreeD="1"/>
</file>

<file path=xl/ctrlProps/ctrlProp322.xml><?xml version="1.0" encoding="utf-8"?>
<formControlPr xmlns="http://schemas.microsoft.com/office/spreadsheetml/2009/9/main" objectType="CheckBox" fmlaLink="$AG$43" lockText="1" noThreeD="1"/>
</file>

<file path=xl/ctrlProps/ctrlProp323.xml><?xml version="1.0" encoding="utf-8"?>
<formControlPr xmlns="http://schemas.microsoft.com/office/spreadsheetml/2009/9/main" objectType="CheckBox" fmlaLink="$AG$42" lockText="1" noThreeD="1"/>
</file>

<file path=xl/ctrlProps/ctrlProp324.xml><?xml version="1.0" encoding="utf-8"?>
<formControlPr xmlns="http://schemas.microsoft.com/office/spreadsheetml/2009/9/main" objectType="CheckBox" fmlaLink="$AG$44" lockText="1" noThreeD="1"/>
</file>

<file path=xl/ctrlProps/ctrlProp325.xml><?xml version="1.0" encoding="utf-8"?>
<formControlPr xmlns="http://schemas.microsoft.com/office/spreadsheetml/2009/9/main" objectType="CheckBox" fmlaLink="$AG$45" lockText="1" noThreeD="1"/>
</file>

<file path=xl/ctrlProps/ctrlProp326.xml><?xml version="1.0" encoding="utf-8"?>
<formControlPr xmlns="http://schemas.microsoft.com/office/spreadsheetml/2009/9/main" objectType="CheckBox" fmlaLink="$AG$46" lockText="1" noThreeD="1"/>
</file>

<file path=xl/ctrlProps/ctrlProp33.xml><?xml version="1.0" encoding="utf-8"?>
<formControlPr xmlns="http://schemas.microsoft.com/office/spreadsheetml/2009/9/main" objectType="CheckBox" fmlaLink="$C$26" lockText="1" noThreeD="1"/>
</file>

<file path=xl/ctrlProps/ctrlProp34.xml><?xml version="1.0" encoding="utf-8"?>
<formControlPr xmlns="http://schemas.microsoft.com/office/spreadsheetml/2009/9/main" objectType="CheckBox" fmlaLink="$C$27" lockText="1" noThreeD="1"/>
</file>

<file path=xl/ctrlProps/ctrlProp35.xml><?xml version="1.0" encoding="utf-8"?>
<formControlPr xmlns="http://schemas.microsoft.com/office/spreadsheetml/2009/9/main" objectType="CheckBox" fmlaLink="$C$28" lockText="1" noThreeD="1"/>
</file>

<file path=xl/ctrlProps/ctrlProp36.xml><?xml version="1.0" encoding="utf-8"?>
<formControlPr xmlns="http://schemas.microsoft.com/office/spreadsheetml/2009/9/main" objectType="CheckBox" fmlaLink="$C$29" lockText="1" noThreeD="1"/>
</file>

<file path=xl/ctrlProps/ctrlProp37.xml><?xml version="1.0" encoding="utf-8"?>
<formControlPr xmlns="http://schemas.microsoft.com/office/spreadsheetml/2009/9/main" objectType="CheckBox" fmlaLink="$C$30" lockText="1" noThreeD="1"/>
</file>

<file path=xl/ctrlProps/ctrlProp38.xml><?xml version="1.0" encoding="utf-8"?>
<formControlPr xmlns="http://schemas.microsoft.com/office/spreadsheetml/2009/9/main" objectType="CheckBox" fmlaLink="$C$31" lockText="1" noThreeD="1"/>
</file>

<file path=xl/ctrlProps/ctrlProp39.xml><?xml version="1.0" encoding="utf-8"?>
<formControlPr xmlns="http://schemas.microsoft.com/office/spreadsheetml/2009/9/main" objectType="CheckBox" fmlaLink="$C$32" lockText="1" noThreeD="1"/>
</file>

<file path=xl/ctrlProps/ctrlProp4.xml><?xml version="1.0" encoding="utf-8"?>
<formControlPr xmlns="http://schemas.microsoft.com/office/spreadsheetml/2009/9/main" objectType="Drop" dropLines="3" dropStyle="combo" dx="16" fmlaLink="SelectionTables!$K$3" fmlaRange="SelectionTables!$K$6:$K$8" sel="1" val="0"/>
</file>

<file path=xl/ctrlProps/ctrlProp40.xml><?xml version="1.0" encoding="utf-8"?>
<formControlPr xmlns="http://schemas.microsoft.com/office/spreadsheetml/2009/9/main" objectType="CheckBox" fmlaLink="$C$33" lockText="1" noThreeD="1"/>
</file>

<file path=xl/ctrlProps/ctrlProp41.xml><?xml version="1.0" encoding="utf-8"?>
<formControlPr xmlns="http://schemas.microsoft.com/office/spreadsheetml/2009/9/main" objectType="CheckBox" fmlaLink="$C$34" lockText="1" noThreeD="1"/>
</file>

<file path=xl/ctrlProps/ctrlProp42.xml><?xml version="1.0" encoding="utf-8"?>
<formControlPr xmlns="http://schemas.microsoft.com/office/spreadsheetml/2009/9/main" objectType="CheckBox" fmlaLink="$C$35" lockText="1" noThreeD="1"/>
</file>

<file path=xl/ctrlProps/ctrlProp43.xml><?xml version="1.0" encoding="utf-8"?>
<formControlPr xmlns="http://schemas.microsoft.com/office/spreadsheetml/2009/9/main" objectType="CheckBox" fmlaLink="$C$36" lockText="1" noThreeD="1"/>
</file>

<file path=xl/ctrlProps/ctrlProp44.xml><?xml version="1.0" encoding="utf-8"?>
<formControlPr xmlns="http://schemas.microsoft.com/office/spreadsheetml/2009/9/main" objectType="CheckBox" fmlaLink="$C$37" lockText="1" noThreeD="1"/>
</file>

<file path=xl/ctrlProps/ctrlProp45.xml><?xml version="1.0" encoding="utf-8"?>
<formControlPr xmlns="http://schemas.microsoft.com/office/spreadsheetml/2009/9/main" objectType="CheckBox" fmlaLink="$C$38" lockText="1" noThreeD="1"/>
</file>

<file path=xl/ctrlProps/ctrlProp46.xml><?xml version="1.0" encoding="utf-8"?>
<formControlPr xmlns="http://schemas.microsoft.com/office/spreadsheetml/2009/9/main" objectType="CheckBox" fmlaLink="$C$39" lockText="1" noThreeD="1"/>
</file>

<file path=xl/ctrlProps/ctrlProp47.xml><?xml version="1.0" encoding="utf-8"?>
<formControlPr xmlns="http://schemas.microsoft.com/office/spreadsheetml/2009/9/main" objectType="CheckBox" fmlaLink="$C$40" lockText="1" noThreeD="1"/>
</file>

<file path=xl/ctrlProps/ctrlProp48.xml><?xml version="1.0" encoding="utf-8"?>
<formControlPr xmlns="http://schemas.microsoft.com/office/spreadsheetml/2009/9/main" objectType="CheckBox" fmlaLink="$C$41" lockText="1" noThreeD="1"/>
</file>

<file path=xl/ctrlProps/ctrlProp49.xml><?xml version="1.0" encoding="utf-8"?>
<formControlPr xmlns="http://schemas.microsoft.com/office/spreadsheetml/2009/9/main" objectType="CheckBox" fmlaLink="$C$42" lockText="1" noThreeD="1"/>
</file>

<file path=xl/ctrlProps/ctrlProp5.xml><?xml version="1.0" encoding="utf-8"?>
<formControlPr xmlns="http://schemas.microsoft.com/office/spreadsheetml/2009/9/main" objectType="Drop" dropLines="15" dropStyle="combo" dx="16" fmlaLink="SelectionTables!$S$3" fmlaRange="SelectionTables!$S$6:$S$17" sel="1" val="0"/>
</file>

<file path=xl/ctrlProps/ctrlProp50.xml><?xml version="1.0" encoding="utf-8"?>
<formControlPr xmlns="http://schemas.microsoft.com/office/spreadsheetml/2009/9/main" objectType="CheckBox" fmlaLink="$C$43" lockText="1" noThreeD="1"/>
</file>

<file path=xl/ctrlProps/ctrlProp51.xml><?xml version="1.0" encoding="utf-8"?>
<formControlPr xmlns="http://schemas.microsoft.com/office/spreadsheetml/2009/9/main" objectType="CheckBox" fmlaLink="$C$44" lockText="1" noThreeD="1"/>
</file>

<file path=xl/ctrlProps/ctrlProp52.xml><?xml version="1.0" encoding="utf-8"?>
<formControlPr xmlns="http://schemas.microsoft.com/office/spreadsheetml/2009/9/main" objectType="CheckBox" fmlaLink="$C$45" lockText="1" noThreeD="1"/>
</file>

<file path=xl/ctrlProps/ctrlProp53.xml><?xml version="1.0" encoding="utf-8"?>
<formControlPr xmlns="http://schemas.microsoft.com/office/spreadsheetml/2009/9/main" objectType="CheckBox" fmlaLink="$C$46" lockText="1" noThreeD="1"/>
</file>

<file path=xl/ctrlProps/ctrlProp54.xml><?xml version="1.0" encoding="utf-8"?>
<formControlPr xmlns="http://schemas.microsoft.com/office/spreadsheetml/2009/9/main" objectType="CheckBox" fmlaLink="$C$47" lockText="1" noThreeD="1"/>
</file>

<file path=xl/ctrlProps/ctrlProp55.xml><?xml version="1.0" encoding="utf-8"?>
<formControlPr xmlns="http://schemas.microsoft.com/office/spreadsheetml/2009/9/main" objectType="CheckBox" fmlaLink="$C$48" lockText="1" noThreeD="1"/>
</file>

<file path=xl/ctrlProps/ctrlProp56.xml><?xml version="1.0" encoding="utf-8"?>
<formControlPr xmlns="http://schemas.microsoft.com/office/spreadsheetml/2009/9/main" objectType="CheckBox" fmlaLink="$C$49" lockText="1" noThreeD="1"/>
</file>

<file path=xl/ctrlProps/ctrlProp57.xml><?xml version="1.0" encoding="utf-8"?>
<formControlPr xmlns="http://schemas.microsoft.com/office/spreadsheetml/2009/9/main" objectType="CheckBox" fmlaLink="$C$50" lockText="1" noThreeD="1"/>
</file>

<file path=xl/ctrlProps/ctrlProp58.xml><?xml version="1.0" encoding="utf-8"?>
<formControlPr xmlns="http://schemas.microsoft.com/office/spreadsheetml/2009/9/main" objectType="CheckBox" fmlaLink="$C$51" lockText="1" noThreeD="1"/>
</file>

<file path=xl/ctrlProps/ctrlProp59.xml><?xml version="1.0" encoding="utf-8"?>
<formControlPr xmlns="http://schemas.microsoft.com/office/spreadsheetml/2009/9/main" objectType="CheckBox" fmlaLink="$C$52" lockText="1" noThreeD="1"/>
</file>

<file path=xl/ctrlProps/ctrlProp6.xml><?xml version="1.0" encoding="utf-8"?>
<formControlPr xmlns="http://schemas.microsoft.com/office/spreadsheetml/2009/9/main" objectType="Drop" dropLines="17" dropStyle="combo" dx="16" fmlaLink="SelectionTables!$T$3" fmlaRange="SelectionTables!$T$6:$T$22" sel="1" val="0"/>
</file>

<file path=xl/ctrlProps/ctrlProp60.xml><?xml version="1.0" encoding="utf-8"?>
<formControlPr xmlns="http://schemas.microsoft.com/office/spreadsheetml/2009/9/main" objectType="CheckBox" fmlaLink="$C$53" lockText="1" noThreeD="1"/>
</file>

<file path=xl/ctrlProps/ctrlProp61.xml><?xml version="1.0" encoding="utf-8"?>
<formControlPr xmlns="http://schemas.microsoft.com/office/spreadsheetml/2009/9/main" objectType="CheckBox" fmlaLink="$C$54" lockText="1" noThreeD="1"/>
</file>

<file path=xl/ctrlProps/ctrlProp62.xml><?xml version="1.0" encoding="utf-8"?>
<formControlPr xmlns="http://schemas.microsoft.com/office/spreadsheetml/2009/9/main" objectType="CheckBox" fmlaLink="$C$55" lockText="1" noThreeD="1"/>
</file>

<file path=xl/ctrlProps/ctrlProp63.xml><?xml version="1.0" encoding="utf-8"?>
<formControlPr xmlns="http://schemas.microsoft.com/office/spreadsheetml/2009/9/main" objectType="CheckBox" fmlaLink="$C$56" lockText="1" noThreeD="1"/>
</file>

<file path=xl/ctrlProps/ctrlProp64.xml><?xml version="1.0" encoding="utf-8"?>
<formControlPr xmlns="http://schemas.microsoft.com/office/spreadsheetml/2009/9/main" objectType="CheckBox" fmlaLink="$C$58" lockText="1" noThreeD="1"/>
</file>

<file path=xl/ctrlProps/ctrlProp65.xml><?xml version="1.0" encoding="utf-8"?>
<formControlPr xmlns="http://schemas.microsoft.com/office/spreadsheetml/2009/9/main" objectType="CheckBox" fmlaLink="$C$59" lockText="1" noThreeD="1"/>
</file>

<file path=xl/ctrlProps/ctrlProp66.xml><?xml version="1.0" encoding="utf-8"?>
<formControlPr xmlns="http://schemas.microsoft.com/office/spreadsheetml/2009/9/main" objectType="CheckBox" fmlaLink="$C$57" lockText="1" noThreeD="1"/>
</file>

<file path=xl/ctrlProps/ctrlProp67.xml><?xml version="1.0" encoding="utf-8"?>
<formControlPr xmlns="http://schemas.microsoft.com/office/spreadsheetml/2009/9/main" objectType="CheckBox" fmlaLink="$C$60" lockText="1" noThreeD="1"/>
</file>

<file path=xl/ctrlProps/ctrlProp68.xml><?xml version="1.0" encoding="utf-8"?>
<formControlPr xmlns="http://schemas.microsoft.com/office/spreadsheetml/2009/9/main" objectType="CheckBox" fmlaLink="$C$61" lockText="1" noThreeD="1"/>
</file>

<file path=xl/ctrlProps/ctrlProp69.xml><?xml version="1.0" encoding="utf-8"?>
<formControlPr xmlns="http://schemas.microsoft.com/office/spreadsheetml/2009/9/main" objectType="CheckBox" fmlaLink="$C$62" lockText="1" noThreeD="1"/>
</file>

<file path=xl/ctrlProps/ctrlProp7.xml><?xml version="1.0" encoding="utf-8"?>
<formControlPr xmlns="http://schemas.microsoft.com/office/spreadsheetml/2009/9/main" objectType="Drop" dropLines="15" dropStyle="combo" dx="16" fmlaLink="SelectionTables!$U$3" fmlaRange="SelectionTables!$U$6:$U$17" sel="4" val="0"/>
</file>

<file path=xl/ctrlProps/ctrlProp70.xml><?xml version="1.0" encoding="utf-8"?>
<formControlPr xmlns="http://schemas.microsoft.com/office/spreadsheetml/2009/9/main" objectType="CheckBox" fmlaLink="$C$63" lockText="1" noThreeD="1"/>
</file>

<file path=xl/ctrlProps/ctrlProp71.xml><?xml version="1.0" encoding="utf-8"?>
<formControlPr xmlns="http://schemas.microsoft.com/office/spreadsheetml/2009/9/main" objectType="CheckBox" fmlaLink="$C$64" lockText="1" noThreeD="1"/>
</file>

<file path=xl/ctrlProps/ctrlProp72.xml><?xml version="1.0" encoding="utf-8"?>
<formControlPr xmlns="http://schemas.microsoft.com/office/spreadsheetml/2009/9/main" objectType="CheckBox" fmlaLink="$C$65" lockText="1" noThreeD="1"/>
</file>

<file path=xl/ctrlProps/ctrlProp73.xml><?xml version="1.0" encoding="utf-8"?>
<formControlPr xmlns="http://schemas.microsoft.com/office/spreadsheetml/2009/9/main" objectType="CheckBox" fmlaLink="$C$66" lockText="1" noThreeD="1"/>
</file>

<file path=xl/ctrlProps/ctrlProp74.xml><?xml version="1.0" encoding="utf-8"?>
<formControlPr xmlns="http://schemas.microsoft.com/office/spreadsheetml/2009/9/main" objectType="CheckBox" fmlaLink="$C$67" lockText="1" noThreeD="1"/>
</file>

<file path=xl/ctrlProps/ctrlProp75.xml><?xml version="1.0" encoding="utf-8"?>
<formControlPr xmlns="http://schemas.microsoft.com/office/spreadsheetml/2009/9/main" objectType="CheckBox" fmlaLink="$C$68" lockText="1" noThreeD="1"/>
</file>

<file path=xl/ctrlProps/ctrlProp76.xml><?xml version="1.0" encoding="utf-8"?>
<formControlPr xmlns="http://schemas.microsoft.com/office/spreadsheetml/2009/9/main" objectType="CheckBox" fmlaLink="$C$69" lockText="1" noThreeD="1"/>
</file>

<file path=xl/ctrlProps/ctrlProp77.xml><?xml version="1.0" encoding="utf-8"?>
<formControlPr xmlns="http://schemas.microsoft.com/office/spreadsheetml/2009/9/main" objectType="CheckBox" fmlaLink="$C$70" lockText="1" noThreeD="1"/>
</file>

<file path=xl/ctrlProps/ctrlProp78.xml><?xml version="1.0" encoding="utf-8"?>
<formControlPr xmlns="http://schemas.microsoft.com/office/spreadsheetml/2009/9/main" objectType="CheckBox" fmlaLink="$C$71" lockText="1" noThreeD="1"/>
</file>

<file path=xl/ctrlProps/ctrlProp79.xml><?xml version="1.0" encoding="utf-8"?>
<formControlPr xmlns="http://schemas.microsoft.com/office/spreadsheetml/2009/9/main" objectType="CheckBox" fmlaLink="$C$72" lockText="1" noThreeD="1"/>
</file>

<file path=xl/ctrlProps/ctrlProp8.xml><?xml version="1.0" encoding="utf-8"?>
<formControlPr xmlns="http://schemas.microsoft.com/office/spreadsheetml/2009/9/main" objectType="Drop" dropLines="3" dropStyle="combo" dx="16" fmlaLink="SelectionTables!$V$3" fmlaRange="SelectionTables!$V$6:$V$8" sel="1" val="0"/>
</file>

<file path=xl/ctrlProps/ctrlProp80.xml><?xml version="1.0" encoding="utf-8"?>
<formControlPr xmlns="http://schemas.microsoft.com/office/spreadsheetml/2009/9/main" objectType="CheckBox" fmlaLink="$C$73" lockText="1" noThreeD="1"/>
</file>

<file path=xl/ctrlProps/ctrlProp81.xml><?xml version="1.0" encoding="utf-8"?>
<formControlPr xmlns="http://schemas.microsoft.com/office/spreadsheetml/2009/9/main" objectType="CheckBox" fmlaLink="$C$74" lockText="1" noThreeD="1"/>
</file>

<file path=xl/ctrlProps/ctrlProp82.xml><?xml version="1.0" encoding="utf-8"?>
<formControlPr xmlns="http://schemas.microsoft.com/office/spreadsheetml/2009/9/main" objectType="CheckBox" fmlaLink="$C$75" lockText="1" noThreeD="1"/>
</file>

<file path=xl/ctrlProps/ctrlProp83.xml><?xml version="1.0" encoding="utf-8"?>
<formControlPr xmlns="http://schemas.microsoft.com/office/spreadsheetml/2009/9/main" objectType="CheckBox" fmlaLink="$C$76" lockText="1" noThreeD="1"/>
</file>

<file path=xl/ctrlProps/ctrlProp84.xml><?xml version="1.0" encoding="utf-8"?>
<formControlPr xmlns="http://schemas.microsoft.com/office/spreadsheetml/2009/9/main" objectType="CheckBox" fmlaLink="$C$77" lockText="1" noThreeD="1"/>
</file>

<file path=xl/ctrlProps/ctrlProp85.xml><?xml version="1.0" encoding="utf-8"?>
<formControlPr xmlns="http://schemas.microsoft.com/office/spreadsheetml/2009/9/main" objectType="CheckBox" fmlaLink="$C$78" lockText="1" noThreeD="1"/>
</file>

<file path=xl/ctrlProps/ctrlProp86.xml><?xml version="1.0" encoding="utf-8"?>
<formControlPr xmlns="http://schemas.microsoft.com/office/spreadsheetml/2009/9/main" objectType="CheckBox" fmlaLink="$C$79" lockText="1" noThreeD="1"/>
</file>

<file path=xl/ctrlProps/ctrlProp87.xml><?xml version="1.0" encoding="utf-8"?>
<formControlPr xmlns="http://schemas.microsoft.com/office/spreadsheetml/2009/9/main" objectType="CheckBox" fmlaLink="$C$80" lockText="1" noThreeD="1"/>
</file>

<file path=xl/ctrlProps/ctrlProp88.xml><?xml version="1.0" encoding="utf-8"?>
<formControlPr xmlns="http://schemas.microsoft.com/office/spreadsheetml/2009/9/main" objectType="CheckBox" fmlaLink="$C$81" lockText="1" noThreeD="1"/>
</file>

<file path=xl/ctrlProps/ctrlProp89.xml><?xml version="1.0" encoding="utf-8"?>
<formControlPr xmlns="http://schemas.microsoft.com/office/spreadsheetml/2009/9/main" objectType="CheckBox" fmlaLink="$C$82" lockText="1" noThreeD="1"/>
</file>

<file path=xl/ctrlProps/ctrlProp9.xml><?xml version="1.0" encoding="utf-8"?>
<formControlPr xmlns="http://schemas.microsoft.com/office/spreadsheetml/2009/9/main" objectType="Drop" dropLines="13" dropStyle="combo" dx="16" fmlaLink="SelectionTables!$M$3" fmlaRange="SelectionTables!$M$6:$M$18" sel="4" val="0"/>
</file>

<file path=xl/ctrlProps/ctrlProp90.xml><?xml version="1.0" encoding="utf-8"?>
<formControlPr xmlns="http://schemas.microsoft.com/office/spreadsheetml/2009/9/main" objectType="CheckBox" fmlaLink="$C$83" lockText="1" noThreeD="1"/>
</file>

<file path=xl/ctrlProps/ctrlProp91.xml><?xml version="1.0" encoding="utf-8"?>
<formControlPr xmlns="http://schemas.microsoft.com/office/spreadsheetml/2009/9/main" objectType="CheckBox" fmlaLink="$C$84" lockText="1" noThreeD="1"/>
</file>

<file path=xl/ctrlProps/ctrlProp92.xml><?xml version="1.0" encoding="utf-8"?>
<formControlPr xmlns="http://schemas.microsoft.com/office/spreadsheetml/2009/9/main" objectType="CheckBox" fmlaLink="$C$85" lockText="1" noThreeD="1"/>
</file>

<file path=xl/ctrlProps/ctrlProp93.xml><?xml version="1.0" encoding="utf-8"?>
<formControlPr xmlns="http://schemas.microsoft.com/office/spreadsheetml/2009/9/main" objectType="CheckBox" fmlaLink="$C$86" lockText="1" noThreeD="1"/>
</file>

<file path=xl/ctrlProps/ctrlProp94.xml><?xml version="1.0" encoding="utf-8"?>
<formControlPr xmlns="http://schemas.microsoft.com/office/spreadsheetml/2009/9/main" objectType="CheckBox" fmlaLink="$C$87" lockText="1" noThreeD="1"/>
</file>

<file path=xl/ctrlProps/ctrlProp95.xml><?xml version="1.0" encoding="utf-8"?>
<formControlPr xmlns="http://schemas.microsoft.com/office/spreadsheetml/2009/9/main" objectType="CheckBox" fmlaLink="$C$88" lockText="1" noThreeD="1"/>
</file>

<file path=xl/ctrlProps/ctrlProp96.xml><?xml version="1.0" encoding="utf-8"?>
<formControlPr xmlns="http://schemas.microsoft.com/office/spreadsheetml/2009/9/main" objectType="CheckBox" fmlaLink="$C$89" lockText="1" noThreeD="1"/>
</file>

<file path=xl/ctrlProps/ctrlProp97.xml><?xml version="1.0" encoding="utf-8"?>
<formControlPr xmlns="http://schemas.microsoft.com/office/spreadsheetml/2009/9/main" objectType="CheckBox" fmlaLink="$C$90" lockText="1" noThreeD="1"/>
</file>

<file path=xl/ctrlProps/ctrlProp98.xml><?xml version="1.0" encoding="utf-8"?>
<formControlPr xmlns="http://schemas.microsoft.com/office/spreadsheetml/2009/9/main" objectType="CheckBox" fmlaLink="$C$91" lockText="1" noThreeD="1"/>
</file>

<file path=xl/ctrlProps/ctrlProp99.xml><?xml version="1.0" encoding="utf-8"?>
<formControlPr xmlns="http://schemas.microsoft.com/office/spreadsheetml/2009/9/main" objectType="CheckBox" fmlaLink="$C$9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chart" Target="../charts/chart1.xml"/><Relationship Id="rId4"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619125</xdr:colOff>
      <xdr:row>56</xdr:row>
      <xdr:rowOff>142875</xdr:rowOff>
    </xdr:from>
    <xdr:to>
      <xdr:col>13</xdr:col>
      <xdr:colOff>47625</xdr:colOff>
      <xdr:row>76</xdr:row>
      <xdr:rowOff>95250</xdr:rowOff>
    </xdr:to>
    <xdr:graphicFrame macro="">
      <xdr:nvGraphicFramePr>
        <xdr:cNvPr id="516931" name="Chart 32">
          <a:extLst>
            <a:ext uri="{FF2B5EF4-FFF2-40B4-BE49-F238E27FC236}">
              <a16:creationId xmlns:a16="http://schemas.microsoft.com/office/drawing/2014/main" id="{00000000-0008-0000-0000-000043E3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0</xdr:colOff>
          <xdr:row>16</xdr:row>
          <xdr:rowOff>95250</xdr:rowOff>
        </xdr:from>
        <xdr:to>
          <xdr:col>6</xdr:col>
          <xdr:colOff>254000</xdr:colOff>
          <xdr:row>18</xdr:row>
          <xdr:rowOff>12700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95250</xdr:rowOff>
        </xdr:from>
        <xdr:to>
          <xdr:col>6</xdr:col>
          <xdr:colOff>254000</xdr:colOff>
          <xdr:row>24</xdr:row>
          <xdr:rowOff>12700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95250</xdr:rowOff>
        </xdr:from>
        <xdr:to>
          <xdr:col>6</xdr:col>
          <xdr:colOff>254000</xdr:colOff>
          <xdr:row>20</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95250</xdr:rowOff>
        </xdr:from>
        <xdr:to>
          <xdr:col>6</xdr:col>
          <xdr:colOff>254000</xdr:colOff>
          <xdr:row>27</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95250</xdr:rowOff>
        </xdr:from>
        <xdr:to>
          <xdr:col>12</xdr:col>
          <xdr:colOff>254000</xdr:colOff>
          <xdr:row>14</xdr:row>
          <xdr:rowOff>12700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95250</xdr:rowOff>
        </xdr:from>
        <xdr:to>
          <xdr:col>12</xdr:col>
          <xdr:colOff>254000</xdr:colOff>
          <xdr:row>24</xdr:row>
          <xdr:rowOff>12700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95250</xdr:rowOff>
        </xdr:from>
        <xdr:to>
          <xdr:col>12</xdr:col>
          <xdr:colOff>254000</xdr:colOff>
          <xdr:row>20</xdr:row>
          <xdr:rowOff>12700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95250</xdr:rowOff>
        </xdr:from>
        <xdr:to>
          <xdr:col>12</xdr:col>
          <xdr:colOff>254000</xdr:colOff>
          <xdr:row>27</xdr:row>
          <xdr:rowOff>12700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95250</xdr:rowOff>
        </xdr:from>
        <xdr:to>
          <xdr:col>6</xdr:col>
          <xdr:colOff>254000</xdr:colOff>
          <xdr:row>29</xdr:row>
          <xdr:rowOff>12700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95250</xdr:rowOff>
        </xdr:from>
        <xdr:to>
          <xdr:col>12</xdr:col>
          <xdr:colOff>254000</xdr:colOff>
          <xdr:row>29</xdr:row>
          <xdr:rowOff>12700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95250</xdr:rowOff>
        </xdr:from>
        <xdr:to>
          <xdr:col>12</xdr:col>
          <xdr:colOff>254000</xdr:colOff>
          <xdr:row>16</xdr:row>
          <xdr:rowOff>12700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31</xdr:row>
          <xdr:rowOff>88900</xdr:rowOff>
        </xdr:from>
        <xdr:to>
          <xdr:col>9</xdr:col>
          <xdr:colOff>0</xdr:colOff>
          <xdr:row>33</xdr:row>
          <xdr:rowOff>12700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11</xdr:row>
          <xdr:rowOff>44450</xdr:rowOff>
        </xdr:from>
        <xdr:to>
          <xdr:col>8</xdr:col>
          <xdr:colOff>457200</xdr:colOff>
          <xdr:row>11</xdr:row>
          <xdr:rowOff>177800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95250</xdr:rowOff>
        </xdr:from>
        <xdr:to>
          <xdr:col>6</xdr:col>
          <xdr:colOff>254000</xdr:colOff>
          <xdr:row>14</xdr:row>
          <xdr:rowOff>12700</xdr:rowOff>
        </xdr:to>
        <xdr:sp macro="" textlink="">
          <xdr:nvSpPr>
            <xdr:cNvPr id="1100" name="Drop Dow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95250</xdr:rowOff>
        </xdr:from>
        <xdr:to>
          <xdr:col>6</xdr:col>
          <xdr:colOff>254000</xdr:colOff>
          <xdr:row>16</xdr:row>
          <xdr:rowOff>12700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0</xdr:row>
          <xdr:rowOff>12700</xdr:rowOff>
        </xdr:from>
        <xdr:to>
          <xdr:col>14</xdr:col>
          <xdr:colOff>25400</xdr:colOff>
          <xdr:row>7</xdr:row>
          <xdr:rowOff>95250</xdr:rowOff>
        </xdr:to>
        <xdr:pic>
          <xdr:nvPicPr>
            <xdr:cNvPr id="547182" name="Banner 10" descr="Header_1_0_RC7_DE">
              <a:extLst>
                <a:ext uri="{FF2B5EF4-FFF2-40B4-BE49-F238E27FC236}">
                  <a16:creationId xmlns:a16="http://schemas.microsoft.com/office/drawing/2014/main" id="{00000000-0008-0000-0000-00006E590800}"/>
                </a:ext>
              </a:extLst>
            </xdr:cNvPr>
            <xdr:cNvPicPr>
              <a:picLocks noChangeAspect="1" noChangeArrowheads="1"/>
              <a:extLst>
                <a:ext uri="{84589F7E-364E-4C9E-8A38-B11213B215E9}">
                  <a14:cameraTool cellRange="Banner" spid="_x0000_s547185"/>
                </a:ext>
              </a:extLst>
            </xdr:cNvPicPr>
          </xdr:nvPicPr>
          <xdr:blipFill>
            <a:blip xmlns:r="http://schemas.openxmlformats.org/officeDocument/2006/relationships" r:embed="rId2"/>
            <a:srcRect/>
            <a:stretch>
              <a:fillRect/>
            </a:stretch>
          </xdr:blipFill>
          <xdr:spPr bwMode="auto">
            <a:xfrm>
              <a:off x="196850" y="12700"/>
              <a:ext cx="9328150" cy="1193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104</xdr:row>
          <xdr:rowOff>88900</xdr:rowOff>
        </xdr:from>
        <xdr:to>
          <xdr:col>5</xdr:col>
          <xdr:colOff>298450</xdr:colOff>
          <xdr:row>129</xdr:row>
          <xdr:rowOff>38100</xdr:rowOff>
        </xdr:to>
        <xdr:pic>
          <xdr:nvPicPr>
            <xdr:cNvPr id="547183" name="Antenna 3" descr="Antenne_de">
              <a:extLst>
                <a:ext uri="{FF2B5EF4-FFF2-40B4-BE49-F238E27FC236}">
                  <a16:creationId xmlns:a16="http://schemas.microsoft.com/office/drawing/2014/main" id="{00000000-0008-0000-0000-00006F590800}"/>
                </a:ext>
              </a:extLst>
            </xdr:cNvPr>
            <xdr:cNvPicPr>
              <a:picLocks noChangeAspect="1" noChangeArrowheads="1"/>
              <a:extLst>
                <a:ext uri="{84589F7E-364E-4C9E-8A38-B11213B215E9}">
                  <a14:cameraTool cellRange="Antenna" spid="_x0000_s547186"/>
                </a:ext>
              </a:extLst>
            </xdr:cNvPicPr>
          </xdr:nvPicPr>
          <xdr:blipFill>
            <a:blip xmlns:r="http://schemas.openxmlformats.org/officeDocument/2006/relationships" r:embed="rId3"/>
            <a:srcRect/>
            <a:stretch>
              <a:fillRect/>
            </a:stretch>
          </xdr:blipFill>
          <xdr:spPr bwMode="auto">
            <a:xfrm>
              <a:off x="298450" y="16395700"/>
              <a:ext cx="3117850" cy="3962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xdr:row>
          <xdr:rowOff>101600</xdr:rowOff>
        </xdr:from>
        <xdr:to>
          <xdr:col>12</xdr:col>
          <xdr:colOff>495300</xdr:colOff>
          <xdr:row>121</xdr:row>
          <xdr:rowOff>63500</xdr:rowOff>
        </xdr:to>
        <xdr:pic>
          <xdr:nvPicPr>
            <xdr:cNvPr id="547184" name="Picture 74" descr="wlan_DE">
              <a:extLst>
                <a:ext uri="{FF2B5EF4-FFF2-40B4-BE49-F238E27FC236}">
                  <a16:creationId xmlns:a16="http://schemas.microsoft.com/office/drawing/2014/main" id="{00000000-0008-0000-0000-000070590800}"/>
                </a:ext>
              </a:extLst>
            </xdr:cNvPr>
            <xdr:cNvPicPr>
              <a:picLocks noChangeAspect="1" noChangeArrowheads="1"/>
              <a:extLst>
                <a:ext uri="{84589F7E-364E-4C9E-8A38-B11213B215E9}">
                  <a14:cameraTool cellRange="WLAN" spid="_x0000_s547187"/>
                </a:ext>
              </a:extLst>
            </xdr:cNvPicPr>
          </xdr:nvPicPr>
          <xdr:blipFill>
            <a:blip xmlns:r="http://schemas.openxmlformats.org/officeDocument/2006/relationships" r:embed="rId4"/>
            <a:srcRect/>
            <a:stretch>
              <a:fillRect/>
            </a:stretch>
          </xdr:blipFill>
          <xdr:spPr bwMode="auto">
            <a:xfrm>
              <a:off x="3937000" y="16408400"/>
              <a:ext cx="5060950" cy="27051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107950</xdr:rowOff>
        </xdr:from>
        <xdr:to>
          <xdr:col>2</xdr:col>
          <xdr:colOff>203200</xdr:colOff>
          <xdr:row>8</xdr:row>
          <xdr:rowOff>12700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107950</xdr:rowOff>
        </xdr:from>
        <xdr:to>
          <xdr:col>2</xdr:col>
          <xdr:colOff>203200</xdr:colOff>
          <xdr:row>10</xdr:row>
          <xdr:rowOff>12700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107950</xdr:rowOff>
        </xdr:from>
        <xdr:to>
          <xdr:col>2</xdr:col>
          <xdr:colOff>203200</xdr:colOff>
          <xdr:row>12</xdr:row>
          <xdr:rowOff>12700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107950</xdr:rowOff>
        </xdr:from>
        <xdr:to>
          <xdr:col>2</xdr:col>
          <xdr:colOff>203200</xdr:colOff>
          <xdr:row>14</xdr:row>
          <xdr:rowOff>12700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107950</xdr:rowOff>
        </xdr:from>
        <xdr:to>
          <xdr:col>2</xdr:col>
          <xdr:colOff>203200</xdr:colOff>
          <xdr:row>16</xdr:row>
          <xdr:rowOff>12700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107950</xdr:rowOff>
        </xdr:from>
        <xdr:to>
          <xdr:col>2</xdr:col>
          <xdr:colOff>203200</xdr:colOff>
          <xdr:row>11</xdr:row>
          <xdr:rowOff>12700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107950</xdr:rowOff>
        </xdr:from>
        <xdr:to>
          <xdr:col>2</xdr:col>
          <xdr:colOff>203200</xdr:colOff>
          <xdr:row>13</xdr:row>
          <xdr:rowOff>12700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107950</xdr:rowOff>
        </xdr:from>
        <xdr:to>
          <xdr:col>2</xdr:col>
          <xdr:colOff>203200</xdr:colOff>
          <xdr:row>15</xdr:row>
          <xdr:rowOff>12700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4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107950</xdr:rowOff>
        </xdr:from>
        <xdr:to>
          <xdr:col>2</xdr:col>
          <xdr:colOff>203200</xdr:colOff>
          <xdr:row>17</xdr:row>
          <xdr:rowOff>12700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4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107950</xdr:rowOff>
        </xdr:from>
        <xdr:to>
          <xdr:col>2</xdr:col>
          <xdr:colOff>203200</xdr:colOff>
          <xdr:row>18</xdr:row>
          <xdr:rowOff>12700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4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107950</xdr:rowOff>
        </xdr:from>
        <xdr:to>
          <xdr:col>2</xdr:col>
          <xdr:colOff>203200</xdr:colOff>
          <xdr:row>19</xdr:row>
          <xdr:rowOff>12700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4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107950</xdr:rowOff>
        </xdr:from>
        <xdr:to>
          <xdr:col>2</xdr:col>
          <xdr:colOff>203200</xdr:colOff>
          <xdr:row>20</xdr:row>
          <xdr:rowOff>12700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4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107950</xdr:rowOff>
        </xdr:from>
        <xdr:to>
          <xdr:col>2</xdr:col>
          <xdr:colOff>203200</xdr:colOff>
          <xdr:row>21</xdr:row>
          <xdr:rowOff>12700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4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107950</xdr:rowOff>
        </xdr:from>
        <xdr:to>
          <xdr:col>2</xdr:col>
          <xdr:colOff>203200</xdr:colOff>
          <xdr:row>22</xdr:row>
          <xdr:rowOff>12700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4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107950</xdr:rowOff>
        </xdr:from>
        <xdr:to>
          <xdr:col>2</xdr:col>
          <xdr:colOff>203200</xdr:colOff>
          <xdr:row>23</xdr:row>
          <xdr:rowOff>12700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4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107950</xdr:rowOff>
        </xdr:from>
        <xdr:to>
          <xdr:col>2</xdr:col>
          <xdr:colOff>203200</xdr:colOff>
          <xdr:row>24</xdr:row>
          <xdr:rowOff>12700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4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107950</xdr:rowOff>
        </xdr:from>
        <xdr:to>
          <xdr:col>2</xdr:col>
          <xdr:colOff>203200</xdr:colOff>
          <xdr:row>25</xdr:row>
          <xdr:rowOff>12700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4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107950</xdr:rowOff>
        </xdr:from>
        <xdr:to>
          <xdr:col>2</xdr:col>
          <xdr:colOff>203200</xdr:colOff>
          <xdr:row>26</xdr:row>
          <xdr:rowOff>12700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4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107950</xdr:rowOff>
        </xdr:from>
        <xdr:to>
          <xdr:col>2</xdr:col>
          <xdr:colOff>203200</xdr:colOff>
          <xdr:row>27</xdr:row>
          <xdr:rowOff>12700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4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107950</xdr:rowOff>
        </xdr:from>
        <xdr:to>
          <xdr:col>2</xdr:col>
          <xdr:colOff>203200</xdr:colOff>
          <xdr:row>28</xdr:row>
          <xdr:rowOff>12700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4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107950</xdr:rowOff>
        </xdr:from>
        <xdr:to>
          <xdr:col>2</xdr:col>
          <xdr:colOff>203200</xdr:colOff>
          <xdr:row>29</xdr:row>
          <xdr:rowOff>12700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4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107950</xdr:rowOff>
        </xdr:from>
        <xdr:to>
          <xdr:col>2</xdr:col>
          <xdr:colOff>203200</xdr:colOff>
          <xdr:row>30</xdr:row>
          <xdr:rowOff>12700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4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107950</xdr:rowOff>
        </xdr:from>
        <xdr:to>
          <xdr:col>2</xdr:col>
          <xdr:colOff>203200</xdr:colOff>
          <xdr:row>31</xdr:row>
          <xdr:rowOff>12700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4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107950</xdr:rowOff>
        </xdr:from>
        <xdr:to>
          <xdr:col>2</xdr:col>
          <xdr:colOff>203200</xdr:colOff>
          <xdr:row>32</xdr:row>
          <xdr:rowOff>12700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4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107950</xdr:rowOff>
        </xdr:from>
        <xdr:to>
          <xdr:col>2</xdr:col>
          <xdr:colOff>203200</xdr:colOff>
          <xdr:row>33</xdr:row>
          <xdr:rowOff>12700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4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107950</xdr:rowOff>
        </xdr:from>
        <xdr:to>
          <xdr:col>2</xdr:col>
          <xdr:colOff>203200</xdr:colOff>
          <xdr:row>34</xdr:row>
          <xdr:rowOff>12700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4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107950</xdr:rowOff>
        </xdr:from>
        <xdr:to>
          <xdr:col>2</xdr:col>
          <xdr:colOff>203200</xdr:colOff>
          <xdr:row>35</xdr:row>
          <xdr:rowOff>12700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4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107950</xdr:rowOff>
        </xdr:from>
        <xdr:to>
          <xdr:col>2</xdr:col>
          <xdr:colOff>203200</xdr:colOff>
          <xdr:row>36</xdr:row>
          <xdr:rowOff>12700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4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107950</xdr:rowOff>
        </xdr:from>
        <xdr:to>
          <xdr:col>2</xdr:col>
          <xdr:colOff>203200</xdr:colOff>
          <xdr:row>37</xdr:row>
          <xdr:rowOff>12700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4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107950</xdr:rowOff>
        </xdr:from>
        <xdr:to>
          <xdr:col>2</xdr:col>
          <xdr:colOff>203200</xdr:colOff>
          <xdr:row>38</xdr:row>
          <xdr:rowOff>12700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4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107950</xdr:rowOff>
        </xdr:from>
        <xdr:to>
          <xdr:col>2</xdr:col>
          <xdr:colOff>203200</xdr:colOff>
          <xdr:row>39</xdr:row>
          <xdr:rowOff>12700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4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107950</xdr:rowOff>
        </xdr:from>
        <xdr:to>
          <xdr:col>2</xdr:col>
          <xdr:colOff>203200</xdr:colOff>
          <xdr:row>40</xdr:row>
          <xdr:rowOff>12700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4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107950</xdr:rowOff>
        </xdr:from>
        <xdr:to>
          <xdr:col>2</xdr:col>
          <xdr:colOff>203200</xdr:colOff>
          <xdr:row>41</xdr:row>
          <xdr:rowOff>12700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4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107950</xdr:rowOff>
        </xdr:from>
        <xdr:to>
          <xdr:col>2</xdr:col>
          <xdr:colOff>203200</xdr:colOff>
          <xdr:row>42</xdr:row>
          <xdr:rowOff>12700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4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107950</xdr:rowOff>
        </xdr:from>
        <xdr:to>
          <xdr:col>2</xdr:col>
          <xdr:colOff>203200</xdr:colOff>
          <xdr:row>43</xdr:row>
          <xdr:rowOff>12700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4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107950</xdr:rowOff>
        </xdr:from>
        <xdr:to>
          <xdr:col>2</xdr:col>
          <xdr:colOff>203200</xdr:colOff>
          <xdr:row>44</xdr:row>
          <xdr:rowOff>12700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4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107950</xdr:rowOff>
        </xdr:from>
        <xdr:to>
          <xdr:col>2</xdr:col>
          <xdr:colOff>203200</xdr:colOff>
          <xdr:row>45</xdr:row>
          <xdr:rowOff>12700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4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107950</xdr:rowOff>
        </xdr:from>
        <xdr:to>
          <xdr:col>2</xdr:col>
          <xdr:colOff>203200</xdr:colOff>
          <xdr:row>46</xdr:row>
          <xdr:rowOff>12700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4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107950</xdr:rowOff>
        </xdr:from>
        <xdr:to>
          <xdr:col>2</xdr:col>
          <xdr:colOff>203200</xdr:colOff>
          <xdr:row>47</xdr:row>
          <xdr:rowOff>12700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4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107950</xdr:rowOff>
        </xdr:from>
        <xdr:to>
          <xdr:col>2</xdr:col>
          <xdr:colOff>203200</xdr:colOff>
          <xdr:row>48</xdr:row>
          <xdr:rowOff>12700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4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107950</xdr:rowOff>
        </xdr:from>
        <xdr:to>
          <xdr:col>2</xdr:col>
          <xdr:colOff>203200</xdr:colOff>
          <xdr:row>49</xdr:row>
          <xdr:rowOff>12700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4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107950</xdr:rowOff>
        </xdr:from>
        <xdr:to>
          <xdr:col>2</xdr:col>
          <xdr:colOff>203200</xdr:colOff>
          <xdr:row>50</xdr:row>
          <xdr:rowOff>12700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4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107950</xdr:rowOff>
        </xdr:from>
        <xdr:to>
          <xdr:col>2</xdr:col>
          <xdr:colOff>203200</xdr:colOff>
          <xdr:row>51</xdr:row>
          <xdr:rowOff>12700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4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107950</xdr:rowOff>
        </xdr:from>
        <xdr:to>
          <xdr:col>2</xdr:col>
          <xdr:colOff>203200</xdr:colOff>
          <xdr:row>52</xdr:row>
          <xdr:rowOff>12700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4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107950</xdr:rowOff>
        </xdr:from>
        <xdr:to>
          <xdr:col>2</xdr:col>
          <xdr:colOff>203200</xdr:colOff>
          <xdr:row>53</xdr:row>
          <xdr:rowOff>12700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4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107950</xdr:rowOff>
        </xdr:from>
        <xdr:to>
          <xdr:col>2</xdr:col>
          <xdr:colOff>203200</xdr:colOff>
          <xdr:row>54</xdr:row>
          <xdr:rowOff>12700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4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107950</xdr:rowOff>
        </xdr:from>
        <xdr:to>
          <xdr:col>2</xdr:col>
          <xdr:colOff>203200</xdr:colOff>
          <xdr:row>55</xdr:row>
          <xdr:rowOff>12700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4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107950</xdr:rowOff>
        </xdr:from>
        <xdr:to>
          <xdr:col>2</xdr:col>
          <xdr:colOff>203200</xdr:colOff>
          <xdr:row>56</xdr:row>
          <xdr:rowOff>12700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4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107950</xdr:rowOff>
        </xdr:from>
        <xdr:to>
          <xdr:col>2</xdr:col>
          <xdr:colOff>203200</xdr:colOff>
          <xdr:row>58</xdr:row>
          <xdr:rowOff>12700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4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107950</xdr:rowOff>
        </xdr:from>
        <xdr:to>
          <xdr:col>2</xdr:col>
          <xdr:colOff>203200</xdr:colOff>
          <xdr:row>59</xdr:row>
          <xdr:rowOff>12700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4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107950</xdr:rowOff>
        </xdr:from>
        <xdr:to>
          <xdr:col>2</xdr:col>
          <xdr:colOff>203200</xdr:colOff>
          <xdr:row>57</xdr:row>
          <xdr:rowOff>12700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4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107950</xdr:rowOff>
        </xdr:from>
        <xdr:to>
          <xdr:col>2</xdr:col>
          <xdr:colOff>203200</xdr:colOff>
          <xdr:row>60</xdr:row>
          <xdr:rowOff>12700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4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107950</xdr:rowOff>
        </xdr:from>
        <xdr:to>
          <xdr:col>2</xdr:col>
          <xdr:colOff>203200</xdr:colOff>
          <xdr:row>61</xdr:row>
          <xdr:rowOff>12700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4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107950</xdr:rowOff>
        </xdr:from>
        <xdr:to>
          <xdr:col>2</xdr:col>
          <xdr:colOff>203200</xdr:colOff>
          <xdr:row>62</xdr:row>
          <xdr:rowOff>12700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4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107950</xdr:rowOff>
        </xdr:from>
        <xdr:to>
          <xdr:col>2</xdr:col>
          <xdr:colOff>203200</xdr:colOff>
          <xdr:row>63</xdr:row>
          <xdr:rowOff>12700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4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107950</xdr:rowOff>
        </xdr:from>
        <xdr:to>
          <xdr:col>2</xdr:col>
          <xdr:colOff>203200</xdr:colOff>
          <xdr:row>64</xdr:row>
          <xdr:rowOff>12700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4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107950</xdr:rowOff>
        </xdr:from>
        <xdr:to>
          <xdr:col>2</xdr:col>
          <xdr:colOff>203200</xdr:colOff>
          <xdr:row>65</xdr:row>
          <xdr:rowOff>12700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4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107950</xdr:rowOff>
        </xdr:from>
        <xdr:to>
          <xdr:col>2</xdr:col>
          <xdr:colOff>203200</xdr:colOff>
          <xdr:row>66</xdr:row>
          <xdr:rowOff>12700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4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107950</xdr:rowOff>
        </xdr:from>
        <xdr:to>
          <xdr:col>2</xdr:col>
          <xdr:colOff>203200</xdr:colOff>
          <xdr:row>67</xdr:row>
          <xdr:rowOff>12700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4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107950</xdr:rowOff>
        </xdr:from>
        <xdr:to>
          <xdr:col>2</xdr:col>
          <xdr:colOff>203200</xdr:colOff>
          <xdr:row>68</xdr:row>
          <xdr:rowOff>12700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4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107950</xdr:rowOff>
        </xdr:from>
        <xdr:to>
          <xdr:col>2</xdr:col>
          <xdr:colOff>203200</xdr:colOff>
          <xdr:row>69</xdr:row>
          <xdr:rowOff>12700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4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107950</xdr:rowOff>
        </xdr:from>
        <xdr:to>
          <xdr:col>2</xdr:col>
          <xdr:colOff>203200</xdr:colOff>
          <xdr:row>70</xdr:row>
          <xdr:rowOff>12700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4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107950</xdr:rowOff>
        </xdr:from>
        <xdr:to>
          <xdr:col>2</xdr:col>
          <xdr:colOff>203200</xdr:colOff>
          <xdr:row>71</xdr:row>
          <xdr:rowOff>12700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4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107950</xdr:rowOff>
        </xdr:from>
        <xdr:to>
          <xdr:col>2</xdr:col>
          <xdr:colOff>203200</xdr:colOff>
          <xdr:row>72</xdr:row>
          <xdr:rowOff>12700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4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107950</xdr:rowOff>
        </xdr:from>
        <xdr:to>
          <xdr:col>2</xdr:col>
          <xdr:colOff>203200</xdr:colOff>
          <xdr:row>73</xdr:row>
          <xdr:rowOff>12700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4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107950</xdr:rowOff>
        </xdr:from>
        <xdr:to>
          <xdr:col>2</xdr:col>
          <xdr:colOff>203200</xdr:colOff>
          <xdr:row>74</xdr:row>
          <xdr:rowOff>12700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4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107950</xdr:rowOff>
        </xdr:from>
        <xdr:to>
          <xdr:col>2</xdr:col>
          <xdr:colOff>203200</xdr:colOff>
          <xdr:row>75</xdr:row>
          <xdr:rowOff>12700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4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107950</xdr:rowOff>
        </xdr:from>
        <xdr:to>
          <xdr:col>2</xdr:col>
          <xdr:colOff>203200</xdr:colOff>
          <xdr:row>76</xdr:row>
          <xdr:rowOff>12700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4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107950</xdr:rowOff>
        </xdr:from>
        <xdr:to>
          <xdr:col>2</xdr:col>
          <xdr:colOff>203200</xdr:colOff>
          <xdr:row>77</xdr:row>
          <xdr:rowOff>12700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4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107950</xdr:rowOff>
        </xdr:from>
        <xdr:to>
          <xdr:col>2</xdr:col>
          <xdr:colOff>203200</xdr:colOff>
          <xdr:row>78</xdr:row>
          <xdr:rowOff>12700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4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107950</xdr:rowOff>
        </xdr:from>
        <xdr:to>
          <xdr:col>2</xdr:col>
          <xdr:colOff>203200</xdr:colOff>
          <xdr:row>79</xdr:row>
          <xdr:rowOff>12700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4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107950</xdr:rowOff>
        </xdr:from>
        <xdr:to>
          <xdr:col>2</xdr:col>
          <xdr:colOff>203200</xdr:colOff>
          <xdr:row>80</xdr:row>
          <xdr:rowOff>12700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4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107950</xdr:rowOff>
        </xdr:from>
        <xdr:to>
          <xdr:col>2</xdr:col>
          <xdr:colOff>203200</xdr:colOff>
          <xdr:row>81</xdr:row>
          <xdr:rowOff>12700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4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107950</xdr:rowOff>
        </xdr:from>
        <xdr:to>
          <xdr:col>2</xdr:col>
          <xdr:colOff>203200</xdr:colOff>
          <xdr:row>82</xdr:row>
          <xdr:rowOff>12700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4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107950</xdr:rowOff>
        </xdr:from>
        <xdr:to>
          <xdr:col>2</xdr:col>
          <xdr:colOff>203200</xdr:colOff>
          <xdr:row>83</xdr:row>
          <xdr:rowOff>12700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4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107950</xdr:rowOff>
        </xdr:from>
        <xdr:to>
          <xdr:col>2</xdr:col>
          <xdr:colOff>203200</xdr:colOff>
          <xdr:row>84</xdr:row>
          <xdr:rowOff>12700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4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107950</xdr:rowOff>
        </xdr:from>
        <xdr:to>
          <xdr:col>2</xdr:col>
          <xdr:colOff>203200</xdr:colOff>
          <xdr:row>85</xdr:row>
          <xdr:rowOff>12700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4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107950</xdr:rowOff>
        </xdr:from>
        <xdr:to>
          <xdr:col>2</xdr:col>
          <xdr:colOff>203200</xdr:colOff>
          <xdr:row>86</xdr:row>
          <xdr:rowOff>12700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4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85</xdr:row>
          <xdr:rowOff>107950</xdr:rowOff>
        </xdr:from>
        <xdr:to>
          <xdr:col>2</xdr:col>
          <xdr:colOff>203200</xdr:colOff>
          <xdr:row>87</xdr:row>
          <xdr:rowOff>12700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4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107950</xdr:rowOff>
        </xdr:from>
        <xdr:to>
          <xdr:col>2</xdr:col>
          <xdr:colOff>203200</xdr:colOff>
          <xdr:row>88</xdr:row>
          <xdr:rowOff>12700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4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107950</xdr:rowOff>
        </xdr:from>
        <xdr:to>
          <xdr:col>2</xdr:col>
          <xdr:colOff>203200</xdr:colOff>
          <xdr:row>89</xdr:row>
          <xdr:rowOff>12700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4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107950</xdr:rowOff>
        </xdr:from>
        <xdr:to>
          <xdr:col>2</xdr:col>
          <xdr:colOff>203200</xdr:colOff>
          <xdr:row>90</xdr:row>
          <xdr:rowOff>12700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4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107950</xdr:rowOff>
        </xdr:from>
        <xdr:to>
          <xdr:col>2</xdr:col>
          <xdr:colOff>203200</xdr:colOff>
          <xdr:row>91</xdr:row>
          <xdr:rowOff>12700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4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107950</xdr:rowOff>
        </xdr:from>
        <xdr:to>
          <xdr:col>2</xdr:col>
          <xdr:colOff>203200</xdr:colOff>
          <xdr:row>92</xdr:row>
          <xdr:rowOff>12700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4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107950</xdr:rowOff>
        </xdr:from>
        <xdr:to>
          <xdr:col>2</xdr:col>
          <xdr:colOff>203200</xdr:colOff>
          <xdr:row>93</xdr:row>
          <xdr:rowOff>12700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4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107950</xdr:rowOff>
        </xdr:from>
        <xdr:to>
          <xdr:col>2</xdr:col>
          <xdr:colOff>203200</xdr:colOff>
          <xdr:row>94</xdr:row>
          <xdr:rowOff>12700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4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107950</xdr:rowOff>
        </xdr:from>
        <xdr:to>
          <xdr:col>2</xdr:col>
          <xdr:colOff>203200</xdr:colOff>
          <xdr:row>95</xdr:row>
          <xdr:rowOff>12700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4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107950</xdr:rowOff>
        </xdr:from>
        <xdr:to>
          <xdr:col>2</xdr:col>
          <xdr:colOff>203200</xdr:colOff>
          <xdr:row>96</xdr:row>
          <xdr:rowOff>12700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4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107950</xdr:rowOff>
        </xdr:from>
        <xdr:to>
          <xdr:col>2</xdr:col>
          <xdr:colOff>203200</xdr:colOff>
          <xdr:row>97</xdr:row>
          <xdr:rowOff>12700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4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107950</xdr:rowOff>
        </xdr:from>
        <xdr:to>
          <xdr:col>2</xdr:col>
          <xdr:colOff>203200</xdr:colOff>
          <xdr:row>98</xdr:row>
          <xdr:rowOff>12700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4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107950</xdr:rowOff>
        </xdr:from>
        <xdr:to>
          <xdr:col>2</xdr:col>
          <xdr:colOff>203200</xdr:colOff>
          <xdr:row>99</xdr:row>
          <xdr:rowOff>12700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4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107950</xdr:rowOff>
        </xdr:from>
        <xdr:to>
          <xdr:col>2</xdr:col>
          <xdr:colOff>203200</xdr:colOff>
          <xdr:row>100</xdr:row>
          <xdr:rowOff>12700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4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107950</xdr:rowOff>
        </xdr:from>
        <xdr:to>
          <xdr:col>2</xdr:col>
          <xdr:colOff>203200</xdr:colOff>
          <xdr:row>101</xdr:row>
          <xdr:rowOff>12700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4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100</xdr:row>
          <xdr:rowOff>107950</xdr:rowOff>
        </xdr:from>
        <xdr:to>
          <xdr:col>2</xdr:col>
          <xdr:colOff>203200</xdr:colOff>
          <xdr:row>102</xdr:row>
          <xdr:rowOff>12700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4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107950</xdr:rowOff>
        </xdr:from>
        <xdr:to>
          <xdr:col>2</xdr:col>
          <xdr:colOff>203200</xdr:colOff>
          <xdr:row>103</xdr:row>
          <xdr:rowOff>12700</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4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107950</xdr:rowOff>
        </xdr:from>
        <xdr:to>
          <xdr:col>2</xdr:col>
          <xdr:colOff>203200</xdr:colOff>
          <xdr:row>104</xdr:row>
          <xdr:rowOff>12700</xdr:rowOff>
        </xdr:to>
        <xdr:sp macro="" textlink="">
          <xdr:nvSpPr>
            <xdr:cNvPr id="18540" name="Check Box 108" hidden="1">
              <a:extLst>
                <a:ext uri="{63B3BB69-23CF-44E3-9099-C40C66FF867C}">
                  <a14:compatExt spid="_x0000_s18540"/>
                </a:ext>
                <a:ext uri="{FF2B5EF4-FFF2-40B4-BE49-F238E27FC236}">
                  <a16:creationId xmlns:a16="http://schemas.microsoft.com/office/drawing/2014/main" id="{00000000-0008-0000-04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107950</xdr:rowOff>
        </xdr:from>
        <xdr:to>
          <xdr:col>2</xdr:col>
          <xdr:colOff>203200</xdr:colOff>
          <xdr:row>105</xdr:row>
          <xdr:rowOff>12700</xdr:rowOff>
        </xdr:to>
        <xdr:sp macro="" textlink="">
          <xdr:nvSpPr>
            <xdr:cNvPr id="18541" name="Check Box 109" hidden="1">
              <a:extLst>
                <a:ext uri="{63B3BB69-23CF-44E3-9099-C40C66FF867C}">
                  <a14:compatExt spid="_x0000_s18541"/>
                </a:ext>
                <a:ext uri="{FF2B5EF4-FFF2-40B4-BE49-F238E27FC236}">
                  <a16:creationId xmlns:a16="http://schemas.microsoft.com/office/drawing/2014/main" id="{00000000-0008-0000-04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107950</xdr:rowOff>
        </xdr:from>
        <xdr:to>
          <xdr:col>2</xdr:col>
          <xdr:colOff>203200</xdr:colOff>
          <xdr:row>106</xdr:row>
          <xdr:rowOff>12700</xdr:rowOff>
        </xdr:to>
        <xdr:sp macro="" textlink="">
          <xdr:nvSpPr>
            <xdr:cNvPr id="18542" name="Check Box 110" hidden="1">
              <a:extLst>
                <a:ext uri="{63B3BB69-23CF-44E3-9099-C40C66FF867C}">
                  <a14:compatExt spid="_x0000_s18542"/>
                </a:ext>
                <a:ext uri="{FF2B5EF4-FFF2-40B4-BE49-F238E27FC236}">
                  <a16:creationId xmlns:a16="http://schemas.microsoft.com/office/drawing/2014/main" id="{00000000-0008-0000-04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107950</xdr:rowOff>
        </xdr:from>
        <xdr:to>
          <xdr:col>2</xdr:col>
          <xdr:colOff>203200</xdr:colOff>
          <xdr:row>107</xdr:row>
          <xdr:rowOff>12700</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04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107950</xdr:rowOff>
        </xdr:from>
        <xdr:to>
          <xdr:col>2</xdr:col>
          <xdr:colOff>203200</xdr:colOff>
          <xdr:row>7</xdr:row>
          <xdr:rowOff>12700</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04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107950</xdr:rowOff>
        </xdr:from>
        <xdr:to>
          <xdr:col>2</xdr:col>
          <xdr:colOff>203200</xdr:colOff>
          <xdr:row>9</xdr:row>
          <xdr:rowOff>12700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4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107950</xdr:rowOff>
        </xdr:from>
        <xdr:to>
          <xdr:col>7</xdr:col>
          <xdr:colOff>203200</xdr:colOff>
          <xdr:row>7</xdr:row>
          <xdr:rowOff>12700</xdr:rowOff>
        </xdr:to>
        <xdr:sp macro="" textlink="">
          <xdr:nvSpPr>
            <xdr:cNvPr id="18552" name="Check Box 120" hidden="1">
              <a:extLst>
                <a:ext uri="{63B3BB69-23CF-44E3-9099-C40C66FF867C}">
                  <a14:compatExt spid="_x0000_s18552"/>
                </a:ext>
                <a:ext uri="{FF2B5EF4-FFF2-40B4-BE49-F238E27FC236}">
                  <a16:creationId xmlns:a16="http://schemas.microsoft.com/office/drawing/2014/main" id="{00000000-0008-0000-04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107950</xdr:rowOff>
        </xdr:from>
        <xdr:to>
          <xdr:col>7</xdr:col>
          <xdr:colOff>203200</xdr:colOff>
          <xdr:row>8</xdr:row>
          <xdr:rowOff>12700</xdr:rowOff>
        </xdr:to>
        <xdr:sp macro="" textlink="">
          <xdr:nvSpPr>
            <xdr:cNvPr id="18598" name="Check Box 166" hidden="1">
              <a:extLst>
                <a:ext uri="{63B3BB69-23CF-44E3-9099-C40C66FF867C}">
                  <a14:compatExt spid="_x0000_s18598"/>
                </a:ext>
                <a:ext uri="{FF2B5EF4-FFF2-40B4-BE49-F238E27FC236}">
                  <a16:creationId xmlns:a16="http://schemas.microsoft.com/office/drawing/2014/main" id="{00000000-0008-0000-0400-0000A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107950</xdr:rowOff>
        </xdr:from>
        <xdr:to>
          <xdr:col>7</xdr:col>
          <xdr:colOff>203200</xdr:colOff>
          <xdr:row>9</xdr:row>
          <xdr:rowOff>12700</xdr:rowOff>
        </xdr:to>
        <xdr:sp macro="" textlink="">
          <xdr:nvSpPr>
            <xdr:cNvPr id="18599" name="Check Box 167" hidden="1">
              <a:extLst>
                <a:ext uri="{63B3BB69-23CF-44E3-9099-C40C66FF867C}">
                  <a14:compatExt spid="_x0000_s18599"/>
                </a:ext>
                <a:ext uri="{FF2B5EF4-FFF2-40B4-BE49-F238E27FC236}">
                  <a16:creationId xmlns:a16="http://schemas.microsoft.com/office/drawing/2014/main" id="{00000000-0008-0000-0400-0000A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107950</xdr:rowOff>
        </xdr:from>
        <xdr:to>
          <xdr:col>7</xdr:col>
          <xdr:colOff>203200</xdr:colOff>
          <xdr:row>10</xdr:row>
          <xdr:rowOff>12700</xdr:rowOff>
        </xdr:to>
        <xdr:sp macro="" textlink="">
          <xdr:nvSpPr>
            <xdr:cNvPr id="18600" name="Check Box 168" hidden="1">
              <a:extLst>
                <a:ext uri="{63B3BB69-23CF-44E3-9099-C40C66FF867C}">
                  <a14:compatExt spid="_x0000_s18600"/>
                </a:ext>
                <a:ext uri="{FF2B5EF4-FFF2-40B4-BE49-F238E27FC236}">
                  <a16:creationId xmlns:a16="http://schemas.microsoft.com/office/drawing/2014/main" id="{00000000-0008-0000-0400-0000A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107950</xdr:rowOff>
        </xdr:from>
        <xdr:to>
          <xdr:col>7</xdr:col>
          <xdr:colOff>203200</xdr:colOff>
          <xdr:row>11</xdr:row>
          <xdr:rowOff>12700</xdr:rowOff>
        </xdr:to>
        <xdr:sp macro="" textlink="">
          <xdr:nvSpPr>
            <xdr:cNvPr id="18601" name="Check Box 169" hidden="1">
              <a:extLst>
                <a:ext uri="{63B3BB69-23CF-44E3-9099-C40C66FF867C}">
                  <a14:compatExt spid="_x0000_s18601"/>
                </a:ext>
                <a:ext uri="{FF2B5EF4-FFF2-40B4-BE49-F238E27FC236}">
                  <a16:creationId xmlns:a16="http://schemas.microsoft.com/office/drawing/2014/main" id="{00000000-0008-0000-0400-0000A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107950</xdr:rowOff>
        </xdr:from>
        <xdr:to>
          <xdr:col>7</xdr:col>
          <xdr:colOff>203200</xdr:colOff>
          <xdr:row>12</xdr:row>
          <xdr:rowOff>12700</xdr:rowOff>
        </xdr:to>
        <xdr:sp macro="" textlink="">
          <xdr:nvSpPr>
            <xdr:cNvPr id="18602" name="Check Box 170" hidden="1">
              <a:extLst>
                <a:ext uri="{63B3BB69-23CF-44E3-9099-C40C66FF867C}">
                  <a14:compatExt spid="_x0000_s18602"/>
                </a:ext>
                <a:ext uri="{FF2B5EF4-FFF2-40B4-BE49-F238E27FC236}">
                  <a16:creationId xmlns:a16="http://schemas.microsoft.com/office/drawing/2014/main" id="{00000000-0008-0000-0400-0000A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107950</xdr:rowOff>
        </xdr:from>
        <xdr:to>
          <xdr:col>7</xdr:col>
          <xdr:colOff>203200</xdr:colOff>
          <xdr:row>13</xdr:row>
          <xdr:rowOff>12700</xdr:rowOff>
        </xdr:to>
        <xdr:sp macro="" textlink="">
          <xdr:nvSpPr>
            <xdr:cNvPr id="18603" name="Check Box 171" hidden="1">
              <a:extLst>
                <a:ext uri="{63B3BB69-23CF-44E3-9099-C40C66FF867C}">
                  <a14:compatExt spid="_x0000_s18603"/>
                </a:ext>
                <a:ext uri="{FF2B5EF4-FFF2-40B4-BE49-F238E27FC236}">
                  <a16:creationId xmlns:a16="http://schemas.microsoft.com/office/drawing/2014/main" id="{00000000-0008-0000-0400-0000A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107950</xdr:rowOff>
        </xdr:from>
        <xdr:to>
          <xdr:col>7</xdr:col>
          <xdr:colOff>203200</xdr:colOff>
          <xdr:row>14</xdr:row>
          <xdr:rowOff>12700</xdr:rowOff>
        </xdr:to>
        <xdr:sp macro="" textlink="">
          <xdr:nvSpPr>
            <xdr:cNvPr id="18604" name="Check Box 172" hidden="1">
              <a:extLst>
                <a:ext uri="{63B3BB69-23CF-44E3-9099-C40C66FF867C}">
                  <a14:compatExt spid="_x0000_s18604"/>
                </a:ext>
                <a:ext uri="{FF2B5EF4-FFF2-40B4-BE49-F238E27FC236}">
                  <a16:creationId xmlns:a16="http://schemas.microsoft.com/office/drawing/2014/main" id="{00000000-0008-0000-0400-0000A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107950</xdr:rowOff>
        </xdr:from>
        <xdr:to>
          <xdr:col>7</xdr:col>
          <xdr:colOff>203200</xdr:colOff>
          <xdr:row>15</xdr:row>
          <xdr:rowOff>12700</xdr:rowOff>
        </xdr:to>
        <xdr:sp macro="" textlink="">
          <xdr:nvSpPr>
            <xdr:cNvPr id="18605" name="Check Box 173" hidden="1">
              <a:extLst>
                <a:ext uri="{63B3BB69-23CF-44E3-9099-C40C66FF867C}">
                  <a14:compatExt spid="_x0000_s18605"/>
                </a:ext>
                <a:ext uri="{FF2B5EF4-FFF2-40B4-BE49-F238E27FC236}">
                  <a16:creationId xmlns:a16="http://schemas.microsoft.com/office/drawing/2014/main" id="{00000000-0008-0000-0400-0000A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107950</xdr:rowOff>
        </xdr:from>
        <xdr:to>
          <xdr:col>7</xdr:col>
          <xdr:colOff>203200</xdr:colOff>
          <xdr:row>16</xdr:row>
          <xdr:rowOff>12700</xdr:rowOff>
        </xdr:to>
        <xdr:sp macro="" textlink="">
          <xdr:nvSpPr>
            <xdr:cNvPr id="18606" name="Check Box 174" hidden="1">
              <a:extLst>
                <a:ext uri="{63B3BB69-23CF-44E3-9099-C40C66FF867C}">
                  <a14:compatExt spid="_x0000_s18606"/>
                </a:ext>
                <a:ext uri="{FF2B5EF4-FFF2-40B4-BE49-F238E27FC236}">
                  <a16:creationId xmlns:a16="http://schemas.microsoft.com/office/drawing/2014/main" id="{00000000-0008-0000-0400-0000A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107950</xdr:rowOff>
        </xdr:from>
        <xdr:to>
          <xdr:col>7</xdr:col>
          <xdr:colOff>203200</xdr:colOff>
          <xdr:row>17</xdr:row>
          <xdr:rowOff>12700</xdr:rowOff>
        </xdr:to>
        <xdr:sp macro="" textlink="">
          <xdr:nvSpPr>
            <xdr:cNvPr id="18607" name="Check Box 175" hidden="1">
              <a:extLst>
                <a:ext uri="{63B3BB69-23CF-44E3-9099-C40C66FF867C}">
                  <a14:compatExt spid="_x0000_s18607"/>
                </a:ext>
                <a:ext uri="{FF2B5EF4-FFF2-40B4-BE49-F238E27FC236}">
                  <a16:creationId xmlns:a16="http://schemas.microsoft.com/office/drawing/2014/main" id="{00000000-0008-0000-0400-0000A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107950</xdr:rowOff>
        </xdr:from>
        <xdr:to>
          <xdr:col>7</xdr:col>
          <xdr:colOff>203200</xdr:colOff>
          <xdr:row>18</xdr:row>
          <xdr:rowOff>12700</xdr:rowOff>
        </xdr:to>
        <xdr:sp macro="" textlink="">
          <xdr:nvSpPr>
            <xdr:cNvPr id="18608" name="Check Box 176" hidden="1">
              <a:extLst>
                <a:ext uri="{63B3BB69-23CF-44E3-9099-C40C66FF867C}">
                  <a14:compatExt spid="_x0000_s18608"/>
                </a:ext>
                <a:ext uri="{FF2B5EF4-FFF2-40B4-BE49-F238E27FC236}">
                  <a16:creationId xmlns:a16="http://schemas.microsoft.com/office/drawing/2014/main" id="{00000000-0008-0000-04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107950</xdr:rowOff>
        </xdr:from>
        <xdr:to>
          <xdr:col>7</xdr:col>
          <xdr:colOff>203200</xdr:colOff>
          <xdr:row>19</xdr:row>
          <xdr:rowOff>12700</xdr:rowOff>
        </xdr:to>
        <xdr:sp macro="" textlink="">
          <xdr:nvSpPr>
            <xdr:cNvPr id="18609" name="Check Box 177" hidden="1">
              <a:extLst>
                <a:ext uri="{63B3BB69-23CF-44E3-9099-C40C66FF867C}">
                  <a14:compatExt spid="_x0000_s18609"/>
                </a:ext>
                <a:ext uri="{FF2B5EF4-FFF2-40B4-BE49-F238E27FC236}">
                  <a16:creationId xmlns:a16="http://schemas.microsoft.com/office/drawing/2014/main" id="{00000000-0008-0000-04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107950</xdr:rowOff>
        </xdr:from>
        <xdr:to>
          <xdr:col>7</xdr:col>
          <xdr:colOff>203200</xdr:colOff>
          <xdr:row>20</xdr:row>
          <xdr:rowOff>12700</xdr:rowOff>
        </xdr:to>
        <xdr:sp macro="" textlink="">
          <xdr:nvSpPr>
            <xdr:cNvPr id="18610" name="Check Box 178" hidden="1">
              <a:extLst>
                <a:ext uri="{63B3BB69-23CF-44E3-9099-C40C66FF867C}">
                  <a14:compatExt spid="_x0000_s18610"/>
                </a:ext>
                <a:ext uri="{FF2B5EF4-FFF2-40B4-BE49-F238E27FC236}">
                  <a16:creationId xmlns:a16="http://schemas.microsoft.com/office/drawing/2014/main" id="{00000000-0008-0000-0400-0000B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107950</xdr:rowOff>
        </xdr:from>
        <xdr:to>
          <xdr:col>7</xdr:col>
          <xdr:colOff>203200</xdr:colOff>
          <xdr:row>21</xdr:row>
          <xdr:rowOff>12700</xdr:rowOff>
        </xdr:to>
        <xdr:sp macro="" textlink="">
          <xdr:nvSpPr>
            <xdr:cNvPr id="18611" name="Check Box 179" hidden="1">
              <a:extLst>
                <a:ext uri="{63B3BB69-23CF-44E3-9099-C40C66FF867C}">
                  <a14:compatExt spid="_x0000_s18611"/>
                </a:ext>
                <a:ext uri="{FF2B5EF4-FFF2-40B4-BE49-F238E27FC236}">
                  <a16:creationId xmlns:a16="http://schemas.microsoft.com/office/drawing/2014/main" id="{00000000-0008-0000-0400-0000B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107950</xdr:rowOff>
        </xdr:from>
        <xdr:to>
          <xdr:col>7</xdr:col>
          <xdr:colOff>203200</xdr:colOff>
          <xdr:row>22</xdr:row>
          <xdr:rowOff>12700</xdr:rowOff>
        </xdr:to>
        <xdr:sp macro="" textlink="">
          <xdr:nvSpPr>
            <xdr:cNvPr id="18612" name="Check Box 180" hidden="1">
              <a:extLst>
                <a:ext uri="{63B3BB69-23CF-44E3-9099-C40C66FF867C}">
                  <a14:compatExt spid="_x0000_s18612"/>
                </a:ext>
                <a:ext uri="{FF2B5EF4-FFF2-40B4-BE49-F238E27FC236}">
                  <a16:creationId xmlns:a16="http://schemas.microsoft.com/office/drawing/2014/main" id="{00000000-0008-0000-0400-0000B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107950</xdr:rowOff>
        </xdr:from>
        <xdr:to>
          <xdr:col>7</xdr:col>
          <xdr:colOff>203200</xdr:colOff>
          <xdr:row>23</xdr:row>
          <xdr:rowOff>12700</xdr:rowOff>
        </xdr:to>
        <xdr:sp macro="" textlink="">
          <xdr:nvSpPr>
            <xdr:cNvPr id="18613" name="Check Box 181" hidden="1">
              <a:extLst>
                <a:ext uri="{63B3BB69-23CF-44E3-9099-C40C66FF867C}">
                  <a14:compatExt spid="_x0000_s18613"/>
                </a:ext>
                <a:ext uri="{FF2B5EF4-FFF2-40B4-BE49-F238E27FC236}">
                  <a16:creationId xmlns:a16="http://schemas.microsoft.com/office/drawing/2014/main" id="{00000000-0008-0000-0400-0000B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107950</xdr:rowOff>
        </xdr:from>
        <xdr:to>
          <xdr:col>7</xdr:col>
          <xdr:colOff>203200</xdr:colOff>
          <xdr:row>24</xdr:row>
          <xdr:rowOff>12700</xdr:rowOff>
        </xdr:to>
        <xdr:sp macro="" textlink="">
          <xdr:nvSpPr>
            <xdr:cNvPr id="18614" name="Check Box 182" hidden="1">
              <a:extLst>
                <a:ext uri="{63B3BB69-23CF-44E3-9099-C40C66FF867C}">
                  <a14:compatExt spid="_x0000_s18614"/>
                </a:ext>
                <a:ext uri="{FF2B5EF4-FFF2-40B4-BE49-F238E27FC236}">
                  <a16:creationId xmlns:a16="http://schemas.microsoft.com/office/drawing/2014/main" id="{00000000-0008-0000-0400-0000B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107950</xdr:rowOff>
        </xdr:from>
        <xdr:to>
          <xdr:col>7</xdr:col>
          <xdr:colOff>203200</xdr:colOff>
          <xdr:row>25</xdr:row>
          <xdr:rowOff>12700</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4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107950</xdr:rowOff>
        </xdr:from>
        <xdr:to>
          <xdr:col>7</xdr:col>
          <xdr:colOff>203200</xdr:colOff>
          <xdr:row>26</xdr:row>
          <xdr:rowOff>12700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4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107950</xdr:rowOff>
        </xdr:from>
        <xdr:to>
          <xdr:col>7</xdr:col>
          <xdr:colOff>203200</xdr:colOff>
          <xdr:row>27</xdr:row>
          <xdr:rowOff>12700</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4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107950</xdr:rowOff>
        </xdr:from>
        <xdr:to>
          <xdr:col>7</xdr:col>
          <xdr:colOff>203200</xdr:colOff>
          <xdr:row>28</xdr:row>
          <xdr:rowOff>12700</xdr:rowOff>
        </xdr:to>
        <xdr:sp macro="" textlink="">
          <xdr:nvSpPr>
            <xdr:cNvPr id="18618" name="Check Box 186" hidden="1">
              <a:extLst>
                <a:ext uri="{63B3BB69-23CF-44E3-9099-C40C66FF867C}">
                  <a14:compatExt spid="_x0000_s18618"/>
                </a:ext>
                <a:ext uri="{FF2B5EF4-FFF2-40B4-BE49-F238E27FC236}">
                  <a16:creationId xmlns:a16="http://schemas.microsoft.com/office/drawing/2014/main" id="{00000000-0008-0000-04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107950</xdr:rowOff>
        </xdr:from>
        <xdr:to>
          <xdr:col>7</xdr:col>
          <xdr:colOff>203200</xdr:colOff>
          <xdr:row>29</xdr:row>
          <xdr:rowOff>12700</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4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107950</xdr:rowOff>
        </xdr:from>
        <xdr:to>
          <xdr:col>7</xdr:col>
          <xdr:colOff>203200</xdr:colOff>
          <xdr:row>30</xdr:row>
          <xdr:rowOff>12700</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4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107950</xdr:rowOff>
        </xdr:from>
        <xdr:to>
          <xdr:col>7</xdr:col>
          <xdr:colOff>203200</xdr:colOff>
          <xdr:row>31</xdr:row>
          <xdr:rowOff>12700</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4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107950</xdr:rowOff>
        </xdr:from>
        <xdr:to>
          <xdr:col>7</xdr:col>
          <xdr:colOff>203200</xdr:colOff>
          <xdr:row>32</xdr:row>
          <xdr:rowOff>12700</xdr:rowOff>
        </xdr:to>
        <xdr:sp macro="" textlink="">
          <xdr:nvSpPr>
            <xdr:cNvPr id="18622" name="Check Box 190" hidden="1">
              <a:extLst>
                <a:ext uri="{63B3BB69-23CF-44E3-9099-C40C66FF867C}">
                  <a14:compatExt spid="_x0000_s18622"/>
                </a:ext>
                <a:ext uri="{FF2B5EF4-FFF2-40B4-BE49-F238E27FC236}">
                  <a16:creationId xmlns:a16="http://schemas.microsoft.com/office/drawing/2014/main" id="{00000000-0008-0000-0400-0000B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107950</xdr:rowOff>
        </xdr:from>
        <xdr:to>
          <xdr:col>7</xdr:col>
          <xdr:colOff>203200</xdr:colOff>
          <xdr:row>33</xdr:row>
          <xdr:rowOff>12700</xdr:rowOff>
        </xdr:to>
        <xdr:sp macro="" textlink="">
          <xdr:nvSpPr>
            <xdr:cNvPr id="18623" name="Check Box 191" hidden="1">
              <a:extLst>
                <a:ext uri="{63B3BB69-23CF-44E3-9099-C40C66FF867C}">
                  <a14:compatExt spid="_x0000_s18623"/>
                </a:ext>
                <a:ext uri="{FF2B5EF4-FFF2-40B4-BE49-F238E27FC236}">
                  <a16:creationId xmlns:a16="http://schemas.microsoft.com/office/drawing/2014/main" id="{00000000-0008-0000-04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107950</xdr:rowOff>
        </xdr:from>
        <xdr:to>
          <xdr:col>7</xdr:col>
          <xdr:colOff>203200</xdr:colOff>
          <xdr:row>34</xdr:row>
          <xdr:rowOff>12700</xdr:rowOff>
        </xdr:to>
        <xdr:sp macro="" textlink="">
          <xdr:nvSpPr>
            <xdr:cNvPr id="18624" name="Check Box 192" hidden="1">
              <a:extLst>
                <a:ext uri="{63B3BB69-23CF-44E3-9099-C40C66FF867C}">
                  <a14:compatExt spid="_x0000_s18624"/>
                </a:ext>
                <a:ext uri="{FF2B5EF4-FFF2-40B4-BE49-F238E27FC236}">
                  <a16:creationId xmlns:a16="http://schemas.microsoft.com/office/drawing/2014/main" id="{00000000-0008-0000-04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107950</xdr:rowOff>
        </xdr:from>
        <xdr:to>
          <xdr:col>7</xdr:col>
          <xdr:colOff>203200</xdr:colOff>
          <xdr:row>35</xdr:row>
          <xdr:rowOff>12700</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4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107950</xdr:rowOff>
        </xdr:from>
        <xdr:to>
          <xdr:col>7</xdr:col>
          <xdr:colOff>203200</xdr:colOff>
          <xdr:row>36</xdr:row>
          <xdr:rowOff>12700</xdr:rowOff>
        </xdr:to>
        <xdr:sp macro="" textlink="">
          <xdr:nvSpPr>
            <xdr:cNvPr id="18626" name="Check Box 194" hidden="1">
              <a:extLst>
                <a:ext uri="{63B3BB69-23CF-44E3-9099-C40C66FF867C}">
                  <a14:compatExt spid="_x0000_s18626"/>
                </a:ext>
                <a:ext uri="{FF2B5EF4-FFF2-40B4-BE49-F238E27FC236}">
                  <a16:creationId xmlns:a16="http://schemas.microsoft.com/office/drawing/2014/main" id="{00000000-0008-0000-04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107950</xdr:rowOff>
        </xdr:from>
        <xdr:to>
          <xdr:col>7</xdr:col>
          <xdr:colOff>203200</xdr:colOff>
          <xdr:row>37</xdr:row>
          <xdr:rowOff>12700</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4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107950</xdr:rowOff>
        </xdr:from>
        <xdr:to>
          <xdr:col>7</xdr:col>
          <xdr:colOff>203200</xdr:colOff>
          <xdr:row>38</xdr:row>
          <xdr:rowOff>12700</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4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107950</xdr:rowOff>
        </xdr:from>
        <xdr:to>
          <xdr:col>7</xdr:col>
          <xdr:colOff>203200</xdr:colOff>
          <xdr:row>39</xdr:row>
          <xdr:rowOff>12700</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4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107950</xdr:rowOff>
        </xdr:from>
        <xdr:to>
          <xdr:col>7</xdr:col>
          <xdr:colOff>203200</xdr:colOff>
          <xdr:row>40</xdr:row>
          <xdr:rowOff>12700</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4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107950</xdr:rowOff>
        </xdr:from>
        <xdr:to>
          <xdr:col>7</xdr:col>
          <xdr:colOff>203200</xdr:colOff>
          <xdr:row>41</xdr:row>
          <xdr:rowOff>12700</xdr:rowOff>
        </xdr:to>
        <xdr:sp macro="" textlink="">
          <xdr:nvSpPr>
            <xdr:cNvPr id="18631" name="Check Box 199" hidden="1">
              <a:extLst>
                <a:ext uri="{63B3BB69-23CF-44E3-9099-C40C66FF867C}">
                  <a14:compatExt spid="_x0000_s18631"/>
                </a:ext>
                <a:ext uri="{FF2B5EF4-FFF2-40B4-BE49-F238E27FC236}">
                  <a16:creationId xmlns:a16="http://schemas.microsoft.com/office/drawing/2014/main" id="{00000000-0008-0000-0400-0000C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107950</xdr:rowOff>
        </xdr:from>
        <xdr:to>
          <xdr:col>7</xdr:col>
          <xdr:colOff>203200</xdr:colOff>
          <xdr:row>42</xdr:row>
          <xdr:rowOff>12700</xdr:rowOff>
        </xdr:to>
        <xdr:sp macro="" textlink="">
          <xdr:nvSpPr>
            <xdr:cNvPr id="18632" name="Check Box 200" hidden="1">
              <a:extLst>
                <a:ext uri="{63B3BB69-23CF-44E3-9099-C40C66FF867C}">
                  <a14:compatExt spid="_x0000_s18632"/>
                </a:ext>
                <a:ext uri="{FF2B5EF4-FFF2-40B4-BE49-F238E27FC236}">
                  <a16:creationId xmlns:a16="http://schemas.microsoft.com/office/drawing/2014/main" id="{00000000-0008-0000-0400-0000C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107950</xdr:rowOff>
        </xdr:from>
        <xdr:to>
          <xdr:col>7</xdr:col>
          <xdr:colOff>203200</xdr:colOff>
          <xdr:row>43</xdr:row>
          <xdr:rowOff>12700</xdr:rowOff>
        </xdr:to>
        <xdr:sp macro="" textlink="">
          <xdr:nvSpPr>
            <xdr:cNvPr id="18633" name="Check Box 201" hidden="1">
              <a:extLst>
                <a:ext uri="{63B3BB69-23CF-44E3-9099-C40C66FF867C}">
                  <a14:compatExt spid="_x0000_s18633"/>
                </a:ext>
                <a:ext uri="{FF2B5EF4-FFF2-40B4-BE49-F238E27FC236}">
                  <a16:creationId xmlns:a16="http://schemas.microsoft.com/office/drawing/2014/main" id="{00000000-0008-0000-0400-0000C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107950</xdr:rowOff>
        </xdr:from>
        <xdr:to>
          <xdr:col>7</xdr:col>
          <xdr:colOff>203200</xdr:colOff>
          <xdr:row>44</xdr:row>
          <xdr:rowOff>12700</xdr:rowOff>
        </xdr:to>
        <xdr:sp macro="" textlink="">
          <xdr:nvSpPr>
            <xdr:cNvPr id="18634" name="Check Box 202" hidden="1">
              <a:extLst>
                <a:ext uri="{63B3BB69-23CF-44E3-9099-C40C66FF867C}">
                  <a14:compatExt spid="_x0000_s18634"/>
                </a:ext>
                <a:ext uri="{FF2B5EF4-FFF2-40B4-BE49-F238E27FC236}">
                  <a16:creationId xmlns:a16="http://schemas.microsoft.com/office/drawing/2014/main" id="{00000000-0008-0000-0400-0000C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107950</xdr:rowOff>
        </xdr:from>
        <xdr:to>
          <xdr:col>7</xdr:col>
          <xdr:colOff>203200</xdr:colOff>
          <xdr:row>45</xdr:row>
          <xdr:rowOff>12700</xdr:rowOff>
        </xdr:to>
        <xdr:sp macro="" textlink="">
          <xdr:nvSpPr>
            <xdr:cNvPr id="18635" name="Check Box 203" hidden="1">
              <a:extLst>
                <a:ext uri="{63B3BB69-23CF-44E3-9099-C40C66FF867C}">
                  <a14:compatExt spid="_x0000_s18635"/>
                </a:ext>
                <a:ext uri="{FF2B5EF4-FFF2-40B4-BE49-F238E27FC236}">
                  <a16:creationId xmlns:a16="http://schemas.microsoft.com/office/drawing/2014/main" id="{00000000-0008-0000-0400-0000C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107950</xdr:rowOff>
        </xdr:from>
        <xdr:to>
          <xdr:col>7</xdr:col>
          <xdr:colOff>203200</xdr:colOff>
          <xdr:row>46</xdr:row>
          <xdr:rowOff>12700</xdr:rowOff>
        </xdr:to>
        <xdr:sp macro="" textlink="">
          <xdr:nvSpPr>
            <xdr:cNvPr id="18636" name="Check Box 204" hidden="1">
              <a:extLst>
                <a:ext uri="{63B3BB69-23CF-44E3-9099-C40C66FF867C}">
                  <a14:compatExt spid="_x0000_s18636"/>
                </a:ext>
                <a:ext uri="{FF2B5EF4-FFF2-40B4-BE49-F238E27FC236}">
                  <a16:creationId xmlns:a16="http://schemas.microsoft.com/office/drawing/2014/main" id="{00000000-0008-0000-0400-0000C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107950</xdr:rowOff>
        </xdr:from>
        <xdr:to>
          <xdr:col>12</xdr:col>
          <xdr:colOff>203200</xdr:colOff>
          <xdr:row>7</xdr:row>
          <xdr:rowOff>12700</xdr:rowOff>
        </xdr:to>
        <xdr:sp macro="" textlink="">
          <xdr:nvSpPr>
            <xdr:cNvPr id="18637" name="Check Box 205" hidden="1">
              <a:extLst>
                <a:ext uri="{63B3BB69-23CF-44E3-9099-C40C66FF867C}">
                  <a14:compatExt spid="_x0000_s18637"/>
                </a:ext>
                <a:ext uri="{FF2B5EF4-FFF2-40B4-BE49-F238E27FC236}">
                  <a16:creationId xmlns:a16="http://schemas.microsoft.com/office/drawing/2014/main" id="{00000000-0008-0000-0400-0000C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xdr:row>
          <xdr:rowOff>107950</xdr:rowOff>
        </xdr:from>
        <xdr:to>
          <xdr:col>12</xdr:col>
          <xdr:colOff>203200</xdr:colOff>
          <xdr:row>8</xdr:row>
          <xdr:rowOff>12700</xdr:rowOff>
        </xdr:to>
        <xdr:sp macro="" textlink="">
          <xdr:nvSpPr>
            <xdr:cNvPr id="18638" name="Check Box 206" hidden="1">
              <a:extLst>
                <a:ext uri="{63B3BB69-23CF-44E3-9099-C40C66FF867C}">
                  <a14:compatExt spid="_x0000_s18638"/>
                </a:ext>
                <a:ext uri="{FF2B5EF4-FFF2-40B4-BE49-F238E27FC236}">
                  <a16:creationId xmlns:a16="http://schemas.microsoft.com/office/drawing/2014/main" id="{00000000-0008-0000-0400-0000C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xdr:row>
          <xdr:rowOff>107950</xdr:rowOff>
        </xdr:from>
        <xdr:to>
          <xdr:col>12</xdr:col>
          <xdr:colOff>203200</xdr:colOff>
          <xdr:row>9</xdr:row>
          <xdr:rowOff>12700</xdr:rowOff>
        </xdr:to>
        <xdr:sp macro="" textlink="">
          <xdr:nvSpPr>
            <xdr:cNvPr id="18639" name="Check Box 207" hidden="1">
              <a:extLst>
                <a:ext uri="{63B3BB69-23CF-44E3-9099-C40C66FF867C}">
                  <a14:compatExt spid="_x0000_s18639"/>
                </a:ext>
                <a:ext uri="{FF2B5EF4-FFF2-40B4-BE49-F238E27FC236}">
                  <a16:creationId xmlns:a16="http://schemas.microsoft.com/office/drawing/2014/main" id="{00000000-0008-0000-0400-0000C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107950</xdr:rowOff>
        </xdr:from>
        <xdr:to>
          <xdr:col>12</xdr:col>
          <xdr:colOff>203200</xdr:colOff>
          <xdr:row>10</xdr:row>
          <xdr:rowOff>12700</xdr:rowOff>
        </xdr:to>
        <xdr:sp macro="" textlink="">
          <xdr:nvSpPr>
            <xdr:cNvPr id="18640" name="Check Box 208" hidden="1">
              <a:extLst>
                <a:ext uri="{63B3BB69-23CF-44E3-9099-C40C66FF867C}">
                  <a14:compatExt spid="_x0000_s18640"/>
                </a:ext>
                <a:ext uri="{FF2B5EF4-FFF2-40B4-BE49-F238E27FC236}">
                  <a16:creationId xmlns:a16="http://schemas.microsoft.com/office/drawing/2014/main" id="{00000000-0008-0000-0400-0000D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107950</xdr:rowOff>
        </xdr:from>
        <xdr:to>
          <xdr:col>12</xdr:col>
          <xdr:colOff>203200</xdr:colOff>
          <xdr:row>11</xdr:row>
          <xdr:rowOff>12700</xdr:rowOff>
        </xdr:to>
        <xdr:sp macro="" textlink="">
          <xdr:nvSpPr>
            <xdr:cNvPr id="18641" name="Check Box 209" hidden="1">
              <a:extLst>
                <a:ext uri="{63B3BB69-23CF-44E3-9099-C40C66FF867C}">
                  <a14:compatExt spid="_x0000_s18641"/>
                </a:ext>
                <a:ext uri="{FF2B5EF4-FFF2-40B4-BE49-F238E27FC236}">
                  <a16:creationId xmlns:a16="http://schemas.microsoft.com/office/drawing/2014/main" id="{00000000-0008-0000-0400-0000D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107950</xdr:rowOff>
        </xdr:from>
        <xdr:to>
          <xdr:col>12</xdr:col>
          <xdr:colOff>203200</xdr:colOff>
          <xdr:row>12</xdr:row>
          <xdr:rowOff>12700</xdr:rowOff>
        </xdr:to>
        <xdr:sp macro="" textlink="">
          <xdr:nvSpPr>
            <xdr:cNvPr id="18648" name="Check Box 216" hidden="1">
              <a:extLst>
                <a:ext uri="{63B3BB69-23CF-44E3-9099-C40C66FF867C}">
                  <a14:compatExt spid="_x0000_s18648"/>
                </a:ext>
                <a:ext uri="{FF2B5EF4-FFF2-40B4-BE49-F238E27FC236}">
                  <a16:creationId xmlns:a16="http://schemas.microsoft.com/office/drawing/2014/main" id="{00000000-0008-0000-0400-0000D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107950</xdr:rowOff>
        </xdr:from>
        <xdr:to>
          <xdr:col>12</xdr:col>
          <xdr:colOff>203200</xdr:colOff>
          <xdr:row>13</xdr:row>
          <xdr:rowOff>12700</xdr:rowOff>
        </xdr:to>
        <xdr:sp macro="" textlink="">
          <xdr:nvSpPr>
            <xdr:cNvPr id="18649" name="Check Box 217" hidden="1">
              <a:extLst>
                <a:ext uri="{63B3BB69-23CF-44E3-9099-C40C66FF867C}">
                  <a14:compatExt spid="_x0000_s18649"/>
                </a:ext>
                <a:ext uri="{FF2B5EF4-FFF2-40B4-BE49-F238E27FC236}">
                  <a16:creationId xmlns:a16="http://schemas.microsoft.com/office/drawing/2014/main" id="{00000000-0008-0000-0400-0000D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107950</xdr:rowOff>
        </xdr:from>
        <xdr:to>
          <xdr:col>12</xdr:col>
          <xdr:colOff>203200</xdr:colOff>
          <xdr:row>14</xdr:row>
          <xdr:rowOff>12700</xdr:rowOff>
        </xdr:to>
        <xdr:sp macro="" textlink="">
          <xdr:nvSpPr>
            <xdr:cNvPr id="18650" name="Check Box 218" hidden="1">
              <a:extLst>
                <a:ext uri="{63B3BB69-23CF-44E3-9099-C40C66FF867C}">
                  <a14:compatExt spid="_x0000_s18650"/>
                </a:ext>
                <a:ext uri="{FF2B5EF4-FFF2-40B4-BE49-F238E27FC236}">
                  <a16:creationId xmlns:a16="http://schemas.microsoft.com/office/drawing/2014/main" id="{00000000-0008-0000-0400-0000D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107950</xdr:rowOff>
        </xdr:from>
        <xdr:to>
          <xdr:col>12</xdr:col>
          <xdr:colOff>203200</xdr:colOff>
          <xdr:row>15</xdr:row>
          <xdr:rowOff>12700</xdr:rowOff>
        </xdr:to>
        <xdr:sp macro="" textlink="">
          <xdr:nvSpPr>
            <xdr:cNvPr id="18651" name="Check Box 219" hidden="1">
              <a:extLst>
                <a:ext uri="{63B3BB69-23CF-44E3-9099-C40C66FF867C}">
                  <a14:compatExt spid="_x0000_s18651"/>
                </a:ext>
                <a:ext uri="{FF2B5EF4-FFF2-40B4-BE49-F238E27FC236}">
                  <a16:creationId xmlns:a16="http://schemas.microsoft.com/office/drawing/2014/main" id="{00000000-0008-0000-04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xdr:row>
          <xdr:rowOff>107950</xdr:rowOff>
        </xdr:from>
        <xdr:to>
          <xdr:col>12</xdr:col>
          <xdr:colOff>203200</xdr:colOff>
          <xdr:row>16</xdr:row>
          <xdr:rowOff>12700</xdr:rowOff>
        </xdr:to>
        <xdr:sp macro="" textlink="">
          <xdr:nvSpPr>
            <xdr:cNvPr id="18652" name="Check Box 220" hidden="1">
              <a:extLst>
                <a:ext uri="{63B3BB69-23CF-44E3-9099-C40C66FF867C}">
                  <a14:compatExt spid="_x0000_s18652"/>
                </a:ext>
                <a:ext uri="{FF2B5EF4-FFF2-40B4-BE49-F238E27FC236}">
                  <a16:creationId xmlns:a16="http://schemas.microsoft.com/office/drawing/2014/main" id="{00000000-0008-0000-04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107950</xdr:rowOff>
        </xdr:from>
        <xdr:to>
          <xdr:col>12</xdr:col>
          <xdr:colOff>203200</xdr:colOff>
          <xdr:row>17</xdr:row>
          <xdr:rowOff>12700</xdr:rowOff>
        </xdr:to>
        <xdr:sp macro="" textlink="">
          <xdr:nvSpPr>
            <xdr:cNvPr id="18653" name="Check Box 221" hidden="1">
              <a:extLst>
                <a:ext uri="{63B3BB69-23CF-44E3-9099-C40C66FF867C}">
                  <a14:compatExt spid="_x0000_s18653"/>
                </a:ext>
                <a:ext uri="{FF2B5EF4-FFF2-40B4-BE49-F238E27FC236}">
                  <a16:creationId xmlns:a16="http://schemas.microsoft.com/office/drawing/2014/main" id="{00000000-0008-0000-0400-0000D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107950</xdr:rowOff>
        </xdr:from>
        <xdr:to>
          <xdr:col>12</xdr:col>
          <xdr:colOff>203200</xdr:colOff>
          <xdr:row>18</xdr:row>
          <xdr:rowOff>12700</xdr:rowOff>
        </xdr:to>
        <xdr:sp macro="" textlink="">
          <xdr:nvSpPr>
            <xdr:cNvPr id="18654" name="Check Box 222" hidden="1">
              <a:extLst>
                <a:ext uri="{63B3BB69-23CF-44E3-9099-C40C66FF867C}">
                  <a14:compatExt spid="_x0000_s18654"/>
                </a:ext>
                <a:ext uri="{FF2B5EF4-FFF2-40B4-BE49-F238E27FC236}">
                  <a16:creationId xmlns:a16="http://schemas.microsoft.com/office/drawing/2014/main" id="{00000000-0008-0000-0400-0000D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107950</xdr:rowOff>
        </xdr:from>
        <xdr:to>
          <xdr:col>12</xdr:col>
          <xdr:colOff>203200</xdr:colOff>
          <xdr:row>19</xdr:row>
          <xdr:rowOff>12700</xdr:rowOff>
        </xdr:to>
        <xdr:sp macro="" textlink="">
          <xdr:nvSpPr>
            <xdr:cNvPr id="18655" name="Check Box 223" hidden="1">
              <a:extLst>
                <a:ext uri="{63B3BB69-23CF-44E3-9099-C40C66FF867C}">
                  <a14:compatExt spid="_x0000_s18655"/>
                </a:ext>
                <a:ext uri="{FF2B5EF4-FFF2-40B4-BE49-F238E27FC236}">
                  <a16:creationId xmlns:a16="http://schemas.microsoft.com/office/drawing/2014/main" id="{00000000-0008-0000-0400-0000D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107950</xdr:rowOff>
        </xdr:from>
        <xdr:to>
          <xdr:col>12</xdr:col>
          <xdr:colOff>203200</xdr:colOff>
          <xdr:row>20</xdr:row>
          <xdr:rowOff>12700</xdr:rowOff>
        </xdr:to>
        <xdr:sp macro="" textlink="">
          <xdr:nvSpPr>
            <xdr:cNvPr id="18656" name="Check Box 224" hidden="1">
              <a:extLst>
                <a:ext uri="{63B3BB69-23CF-44E3-9099-C40C66FF867C}">
                  <a14:compatExt spid="_x0000_s18656"/>
                </a:ext>
                <a:ext uri="{FF2B5EF4-FFF2-40B4-BE49-F238E27FC236}">
                  <a16:creationId xmlns:a16="http://schemas.microsoft.com/office/drawing/2014/main" id="{00000000-0008-0000-0400-0000E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107950</xdr:rowOff>
        </xdr:from>
        <xdr:to>
          <xdr:col>12</xdr:col>
          <xdr:colOff>203200</xdr:colOff>
          <xdr:row>21</xdr:row>
          <xdr:rowOff>12700</xdr:rowOff>
        </xdr:to>
        <xdr:sp macro="" textlink="">
          <xdr:nvSpPr>
            <xdr:cNvPr id="18657" name="Check Box 225" hidden="1">
              <a:extLst>
                <a:ext uri="{63B3BB69-23CF-44E3-9099-C40C66FF867C}">
                  <a14:compatExt spid="_x0000_s18657"/>
                </a:ext>
                <a:ext uri="{FF2B5EF4-FFF2-40B4-BE49-F238E27FC236}">
                  <a16:creationId xmlns:a16="http://schemas.microsoft.com/office/drawing/2014/main" id="{00000000-0008-0000-0400-0000E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107950</xdr:rowOff>
        </xdr:from>
        <xdr:to>
          <xdr:col>12</xdr:col>
          <xdr:colOff>203200</xdr:colOff>
          <xdr:row>22</xdr:row>
          <xdr:rowOff>12700</xdr:rowOff>
        </xdr:to>
        <xdr:sp macro="" textlink="">
          <xdr:nvSpPr>
            <xdr:cNvPr id="18658" name="Check Box 226" hidden="1">
              <a:extLst>
                <a:ext uri="{63B3BB69-23CF-44E3-9099-C40C66FF867C}">
                  <a14:compatExt spid="_x0000_s18658"/>
                </a:ext>
                <a:ext uri="{FF2B5EF4-FFF2-40B4-BE49-F238E27FC236}">
                  <a16:creationId xmlns:a16="http://schemas.microsoft.com/office/drawing/2014/main" id="{00000000-0008-0000-0400-0000E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107950</xdr:rowOff>
        </xdr:from>
        <xdr:to>
          <xdr:col>12</xdr:col>
          <xdr:colOff>203200</xdr:colOff>
          <xdr:row>23</xdr:row>
          <xdr:rowOff>12700</xdr:rowOff>
        </xdr:to>
        <xdr:sp macro="" textlink="">
          <xdr:nvSpPr>
            <xdr:cNvPr id="18659" name="Check Box 227" hidden="1">
              <a:extLst>
                <a:ext uri="{63B3BB69-23CF-44E3-9099-C40C66FF867C}">
                  <a14:compatExt spid="_x0000_s18659"/>
                </a:ext>
                <a:ext uri="{FF2B5EF4-FFF2-40B4-BE49-F238E27FC236}">
                  <a16:creationId xmlns:a16="http://schemas.microsoft.com/office/drawing/2014/main" id="{00000000-0008-0000-0400-0000E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107950</xdr:rowOff>
        </xdr:from>
        <xdr:to>
          <xdr:col>12</xdr:col>
          <xdr:colOff>203200</xdr:colOff>
          <xdr:row>24</xdr:row>
          <xdr:rowOff>12700</xdr:rowOff>
        </xdr:to>
        <xdr:sp macro="" textlink="">
          <xdr:nvSpPr>
            <xdr:cNvPr id="18660" name="Check Box 228" hidden="1">
              <a:extLst>
                <a:ext uri="{63B3BB69-23CF-44E3-9099-C40C66FF867C}">
                  <a14:compatExt spid="_x0000_s18660"/>
                </a:ext>
                <a:ext uri="{FF2B5EF4-FFF2-40B4-BE49-F238E27FC236}">
                  <a16:creationId xmlns:a16="http://schemas.microsoft.com/office/drawing/2014/main" id="{00000000-0008-0000-0400-0000E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107950</xdr:rowOff>
        </xdr:from>
        <xdr:to>
          <xdr:col>12</xdr:col>
          <xdr:colOff>203200</xdr:colOff>
          <xdr:row>25</xdr:row>
          <xdr:rowOff>12700</xdr:rowOff>
        </xdr:to>
        <xdr:sp macro="" textlink="">
          <xdr:nvSpPr>
            <xdr:cNvPr id="18661" name="Check Box 229" hidden="1">
              <a:extLst>
                <a:ext uri="{63B3BB69-23CF-44E3-9099-C40C66FF867C}">
                  <a14:compatExt spid="_x0000_s18661"/>
                </a:ext>
                <a:ext uri="{FF2B5EF4-FFF2-40B4-BE49-F238E27FC236}">
                  <a16:creationId xmlns:a16="http://schemas.microsoft.com/office/drawing/2014/main" id="{00000000-0008-0000-0400-0000E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107950</xdr:rowOff>
        </xdr:from>
        <xdr:to>
          <xdr:col>12</xdr:col>
          <xdr:colOff>203200</xdr:colOff>
          <xdr:row>26</xdr:row>
          <xdr:rowOff>12700</xdr:rowOff>
        </xdr:to>
        <xdr:sp macro="" textlink="">
          <xdr:nvSpPr>
            <xdr:cNvPr id="18662" name="Check Box 230" hidden="1">
              <a:extLst>
                <a:ext uri="{63B3BB69-23CF-44E3-9099-C40C66FF867C}">
                  <a14:compatExt spid="_x0000_s18662"/>
                </a:ext>
                <a:ext uri="{FF2B5EF4-FFF2-40B4-BE49-F238E27FC236}">
                  <a16:creationId xmlns:a16="http://schemas.microsoft.com/office/drawing/2014/main" id="{00000000-0008-0000-0400-0000E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107950</xdr:rowOff>
        </xdr:from>
        <xdr:to>
          <xdr:col>12</xdr:col>
          <xdr:colOff>203200</xdr:colOff>
          <xdr:row>27</xdr:row>
          <xdr:rowOff>12700</xdr:rowOff>
        </xdr:to>
        <xdr:sp macro="" textlink="">
          <xdr:nvSpPr>
            <xdr:cNvPr id="18663" name="Check Box 231" hidden="1">
              <a:extLst>
                <a:ext uri="{63B3BB69-23CF-44E3-9099-C40C66FF867C}">
                  <a14:compatExt spid="_x0000_s18663"/>
                </a:ext>
                <a:ext uri="{FF2B5EF4-FFF2-40B4-BE49-F238E27FC236}">
                  <a16:creationId xmlns:a16="http://schemas.microsoft.com/office/drawing/2014/main" id="{00000000-0008-0000-0400-0000E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107950</xdr:rowOff>
        </xdr:from>
        <xdr:to>
          <xdr:col>12</xdr:col>
          <xdr:colOff>203200</xdr:colOff>
          <xdr:row>28</xdr:row>
          <xdr:rowOff>12700</xdr:rowOff>
        </xdr:to>
        <xdr:sp macro="" textlink="">
          <xdr:nvSpPr>
            <xdr:cNvPr id="18664" name="Check Box 232" hidden="1">
              <a:extLst>
                <a:ext uri="{63B3BB69-23CF-44E3-9099-C40C66FF867C}">
                  <a14:compatExt spid="_x0000_s18664"/>
                </a:ext>
                <a:ext uri="{FF2B5EF4-FFF2-40B4-BE49-F238E27FC236}">
                  <a16:creationId xmlns:a16="http://schemas.microsoft.com/office/drawing/2014/main" id="{00000000-0008-0000-0400-0000E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107950</xdr:rowOff>
        </xdr:from>
        <xdr:to>
          <xdr:col>12</xdr:col>
          <xdr:colOff>203200</xdr:colOff>
          <xdr:row>29</xdr:row>
          <xdr:rowOff>12700</xdr:rowOff>
        </xdr:to>
        <xdr:sp macro="" textlink="">
          <xdr:nvSpPr>
            <xdr:cNvPr id="18665" name="Check Box 233" hidden="1">
              <a:extLst>
                <a:ext uri="{63B3BB69-23CF-44E3-9099-C40C66FF867C}">
                  <a14:compatExt spid="_x0000_s18665"/>
                </a:ext>
                <a:ext uri="{FF2B5EF4-FFF2-40B4-BE49-F238E27FC236}">
                  <a16:creationId xmlns:a16="http://schemas.microsoft.com/office/drawing/2014/main" id="{00000000-0008-0000-0400-0000E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107950</xdr:rowOff>
        </xdr:from>
        <xdr:to>
          <xdr:col>12</xdr:col>
          <xdr:colOff>203200</xdr:colOff>
          <xdr:row>30</xdr:row>
          <xdr:rowOff>12700</xdr:rowOff>
        </xdr:to>
        <xdr:sp macro="" textlink="">
          <xdr:nvSpPr>
            <xdr:cNvPr id="18666" name="Check Box 234" hidden="1">
              <a:extLst>
                <a:ext uri="{63B3BB69-23CF-44E3-9099-C40C66FF867C}">
                  <a14:compatExt spid="_x0000_s18666"/>
                </a:ext>
                <a:ext uri="{FF2B5EF4-FFF2-40B4-BE49-F238E27FC236}">
                  <a16:creationId xmlns:a16="http://schemas.microsoft.com/office/drawing/2014/main" id="{00000000-0008-0000-0400-0000E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107950</xdr:rowOff>
        </xdr:from>
        <xdr:to>
          <xdr:col>12</xdr:col>
          <xdr:colOff>203200</xdr:colOff>
          <xdr:row>31</xdr:row>
          <xdr:rowOff>12700</xdr:rowOff>
        </xdr:to>
        <xdr:sp macro="" textlink="">
          <xdr:nvSpPr>
            <xdr:cNvPr id="18667" name="Check Box 235" hidden="1">
              <a:extLst>
                <a:ext uri="{63B3BB69-23CF-44E3-9099-C40C66FF867C}">
                  <a14:compatExt spid="_x0000_s18667"/>
                </a:ext>
                <a:ext uri="{FF2B5EF4-FFF2-40B4-BE49-F238E27FC236}">
                  <a16:creationId xmlns:a16="http://schemas.microsoft.com/office/drawing/2014/main" id="{00000000-0008-0000-0400-0000E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30</xdr:row>
          <xdr:rowOff>107950</xdr:rowOff>
        </xdr:from>
        <xdr:to>
          <xdr:col>12</xdr:col>
          <xdr:colOff>203200</xdr:colOff>
          <xdr:row>32</xdr:row>
          <xdr:rowOff>12700</xdr:rowOff>
        </xdr:to>
        <xdr:sp macro="" textlink="">
          <xdr:nvSpPr>
            <xdr:cNvPr id="18668" name="Check Box 236" hidden="1">
              <a:extLst>
                <a:ext uri="{63B3BB69-23CF-44E3-9099-C40C66FF867C}">
                  <a14:compatExt spid="_x0000_s18668"/>
                </a:ext>
                <a:ext uri="{FF2B5EF4-FFF2-40B4-BE49-F238E27FC236}">
                  <a16:creationId xmlns:a16="http://schemas.microsoft.com/office/drawing/2014/main" id="{00000000-0008-0000-0400-0000E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107950</xdr:rowOff>
        </xdr:from>
        <xdr:to>
          <xdr:col>12</xdr:col>
          <xdr:colOff>203200</xdr:colOff>
          <xdr:row>33</xdr:row>
          <xdr:rowOff>12700</xdr:rowOff>
        </xdr:to>
        <xdr:sp macro="" textlink="">
          <xdr:nvSpPr>
            <xdr:cNvPr id="18672" name="Check Box 240" hidden="1">
              <a:extLst>
                <a:ext uri="{63B3BB69-23CF-44E3-9099-C40C66FF867C}">
                  <a14:compatExt spid="_x0000_s18672"/>
                </a:ext>
                <a:ext uri="{FF2B5EF4-FFF2-40B4-BE49-F238E27FC236}">
                  <a16:creationId xmlns:a16="http://schemas.microsoft.com/office/drawing/2014/main" id="{00000000-0008-0000-04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107950</xdr:rowOff>
        </xdr:from>
        <xdr:to>
          <xdr:col>12</xdr:col>
          <xdr:colOff>203200</xdr:colOff>
          <xdr:row>34</xdr:row>
          <xdr:rowOff>12700</xdr:rowOff>
        </xdr:to>
        <xdr:sp macro="" textlink="">
          <xdr:nvSpPr>
            <xdr:cNvPr id="18673" name="Check Box 241" hidden="1">
              <a:extLst>
                <a:ext uri="{63B3BB69-23CF-44E3-9099-C40C66FF867C}">
                  <a14:compatExt spid="_x0000_s18673"/>
                </a:ext>
                <a:ext uri="{FF2B5EF4-FFF2-40B4-BE49-F238E27FC236}">
                  <a16:creationId xmlns:a16="http://schemas.microsoft.com/office/drawing/2014/main" id="{00000000-0008-0000-04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107950</xdr:rowOff>
        </xdr:from>
        <xdr:to>
          <xdr:col>12</xdr:col>
          <xdr:colOff>203200</xdr:colOff>
          <xdr:row>35</xdr:row>
          <xdr:rowOff>12700</xdr:rowOff>
        </xdr:to>
        <xdr:sp macro="" textlink="">
          <xdr:nvSpPr>
            <xdr:cNvPr id="18674" name="Check Box 242" hidden="1">
              <a:extLst>
                <a:ext uri="{63B3BB69-23CF-44E3-9099-C40C66FF867C}">
                  <a14:compatExt spid="_x0000_s18674"/>
                </a:ext>
                <a:ext uri="{FF2B5EF4-FFF2-40B4-BE49-F238E27FC236}">
                  <a16:creationId xmlns:a16="http://schemas.microsoft.com/office/drawing/2014/main" id="{00000000-0008-0000-04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107950</xdr:rowOff>
        </xdr:from>
        <xdr:to>
          <xdr:col>12</xdr:col>
          <xdr:colOff>203200</xdr:colOff>
          <xdr:row>36</xdr:row>
          <xdr:rowOff>12700</xdr:rowOff>
        </xdr:to>
        <xdr:sp macro="" textlink="">
          <xdr:nvSpPr>
            <xdr:cNvPr id="18675" name="Check Box 243" hidden="1">
              <a:extLst>
                <a:ext uri="{63B3BB69-23CF-44E3-9099-C40C66FF867C}">
                  <a14:compatExt spid="_x0000_s18675"/>
                </a:ext>
                <a:ext uri="{FF2B5EF4-FFF2-40B4-BE49-F238E27FC236}">
                  <a16:creationId xmlns:a16="http://schemas.microsoft.com/office/drawing/2014/main" id="{00000000-0008-0000-04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107950</xdr:rowOff>
        </xdr:from>
        <xdr:to>
          <xdr:col>12</xdr:col>
          <xdr:colOff>203200</xdr:colOff>
          <xdr:row>37</xdr:row>
          <xdr:rowOff>12700</xdr:rowOff>
        </xdr:to>
        <xdr:sp macro="" textlink="">
          <xdr:nvSpPr>
            <xdr:cNvPr id="18676" name="Check Box 244" hidden="1">
              <a:extLst>
                <a:ext uri="{63B3BB69-23CF-44E3-9099-C40C66FF867C}">
                  <a14:compatExt spid="_x0000_s18676"/>
                </a:ext>
                <a:ext uri="{FF2B5EF4-FFF2-40B4-BE49-F238E27FC236}">
                  <a16:creationId xmlns:a16="http://schemas.microsoft.com/office/drawing/2014/main" id="{00000000-0008-0000-04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107950</xdr:rowOff>
        </xdr:from>
        <xdr:to>
          <xdr:col>12</xdr:col>
          <xdr:colOff>203200</xdr:colOff>
          <xdr:row>38</xdr:row>
          <xdr:rowOff>12700</xdr:rowOff>
        </xdr:to>
        <xdr:sp macro="" textlink="">
          <xdr:nvSpPr>
            <xdr:cNvPr id="18677" name="Check Box 245" hidden="1">
              <a:extLst>
                <a:ext uri="{63B3BB69-23CF-44E3-9099-C40C66FF867C}">
                  <a14:compatExt spid="_x0000_s18677"/>
                </a:ext>
                <a:ext uri="{FF2B5EF4-FFF2-40B4-BE49-F238E27FC236}">
                  <a16:creationId xmlns:a16="http://schemas.microsoft.com/office/drawing/2014/main" id="{00000000-0008-0000-0400-0000F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107950</xdr:rowOff>
        </xdr:from>
        <xdr:to>
          <xdr:col>12</xdr:col>
          <xdr:colOff>203200</xdr:colOff>
          <xdr:row>39</xdr:row>
          <xdr:rowOff>12700</xdr:rowOff>
        </xdr:to>
        <xdr:sp macro="" textlink="">
          <xdr:nvSpPr>
            <xdr:cNvPr id="18678" name="Check Box 246" hidden="1">
              <a:extLst>
                <a:ext uri="{63B3BB69-23CF-44E3-9099-C40C66FF867C}">
                  <a14:compatExt spid="_x0000_s18678"/>
                </a:ext>
                <a:ext uri="{FF2B5EF4-FFF2-40B4-BE49-F238E27FC236}">
                  <a16:creationId xmlns:a16="http://schemas.microsoft.com/office/drawing/2014/main" id="{00000000-0008-0000-04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107950</xdr:rowOff>
        </xdr:from>
        <xdr:to>
          <xdr:col>12</xdr:col>
          <xdr:colOff>203200</xdr:colOff>
          <xdr:row>40</xdr:row>
          <xdr:rowOff>12700</xdr:rowOff>
        </xdr:to>
        <xdr:sp macro="" textlink="">
          <xdr:nvSpPr>
            <xdr:cNvPr id="18679" name="Check Box 247" hidden="1">
              <a:extLst>
                <a:ext uri="{63B3BB69-23CF-44E3-9099-C40C66FF867C}">
                  <a14:compatExt spid="_x0000_s18679"/>
                </a:ext>
                <a:ext uri="{FF2B5EF4-FFF2-40B4-BE49-F238E27FC236}">
                  <a16:creationId xmlns:a16="http://schemas.microsoft.com/office/drawing/2014/main" id="{00000000-0008-0000-0400-0000F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107950</xdr:rowOff>
        </xdr:from>
        <xdr:to>
          <xdr:col>12</xdr:col>
          <xdr:colOff>203200</xdr:colOff>
          <xdr:row>41</xdr:row>
          <xdr:rowOff>12700</xdr:rowOff>
        </xdr:to>
        <xdr:sp macro="" textlink="">
          <xdr:nvSpPr>
            <xdr:cNvPr id="18680" name="Check Box 248" hidden="1">
              <a:extLst>
                <a:ext uri="{63B3BB69-23CF-44E3-9099-C40C66FF867C}">
                  <a14:compatExt spid="_x0000_s18680"/>
                </a:ext>
                <a:ext uri="{FF2B5EF4-FFF2-40B4-BE49-F238E27FC236}">
                  <a16:creationId xmlns:a16="http://schemas.microsoft.com/office/drawing/2014/main" id="{00000000-0008-0000-0400-0000F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41</xdr:row>
          <xdr:rowOff>107950</xdr:rowOff>
        </xdr:from>
        <xdr:to>
          <xdr:col>12</xdr:col>
          <xdr:colOff>203200</xdr:colOff>
          <xdr:row>43</xdr:row>
          <xdr:rowOff>12700</xdr:rowOff>
        </xdr:to>
        <xdr:sp macro="" textlink="">
          <xdr:nvSpPr>
            <xdr:cNvPr id="18681" name="Check Box 249" hidden="1">
              <a:extLst>
                <a:ext uri="{63B3BB69-23CF-44E3-9099-C40C66FF867C}">
                  <a14:compatExt spid="_x0000_s18681"/>
                </a:ext>
                <a:ext uri="{FF2B5EF4-FFF2-40B4-BE49-F238E27FC236}">
                  <a16:creationId xmlns:a16="http://schemas.microsoft.com/office/drawing/2014/main" id="{00000000-0008-0000-0400-0000F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40</xdr:row>
          <xdr:rowOff>107950</xdr:rowOff>
        </xdr:from>
        <xdr:to>
          <xdr:col>12</xdr:col>
          <xdr:colOff>203200</xdr:colOff>
          <xdr:row>42</xdr:row>
          <xdr:rowOff>12700</xdr:rowOff>
        </xdr:to>
        <xdr:sp macro="" textlink="">
          <xdr:nvSpPr>
            <xdr:cNvPr id="18682" name="Check Box 250" hidden="1">
              <a:extLst>
                <a:ext uri="{63B3BB69-23CF-44E3-9099-C40C66FF867C}">
                  <a14:compatExt spid="_x0000_s18682"/>
                </a:ext>
                <a:ext uri="{FF2B5EF4-FFF2-40B4-BE49-F238E27FC236}">
                  <a16:creationId xmlns:a16="http://schemas.microsoft.com/office/drawing/2014/main" id="{00000000-0008-0000-0400-0000F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107950</xdr:rowOff>
        </xdr:from>
        <xdr:to>
          <xdr:col>12</xdr:col>
          <xdr:colOff>203200</xdr:colOff>
          <xdr:row>44</xdr:row>
          <xdr:rowOff>12700</xdr:rowOff>
        </xdr:to>
        <xdr:sp macro="" textlink="">
          <xdr:nvSpPr>
            <xdr:cNvPr id="18683" name="Check Box 251" hidden="1">
              <a:extLst>
                <a:ext uri="{63B3BB69-23CF-44E3-9099-C40C66FF867C}">
                  <a14:compatExt spid="_x0000_s18683"/>
                </a:ext>
                <a:ext uri="{FF2B5EF4-FFF2-40B4-BE49-F238E27FC236}">
                  <a16:creationId xmlns:a16="http://schemas.microsoft.com/office/drawing/2014/main" id="{00000000-0008-0000-0400-0000F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107950</xdr:rowOff>
        </xdr:from>
        <xdr:to>
          <xdr:col>12</xdr:col>
          <xdr:colOff>203200</xdr:colOff>
          <xdr:row>45</xdr:row>
          <xdr:rowOff>12700</xdr:rowOff>
        </xdr:to>
        <xdr:sp macro="" textlink="">
          <xdr:nvSpPr>
            <xdr:cNvPr id="18684" name="Check Box 252" hidden="1">
              <a:extLst>
                <a:ext uri="{63B3BB69-23CF-44E3-9099-C40C66FF867C}">
                  <a14:compatExt spid="_x0000_s18684"/>
                </a:ext>
                <a:ext uri="{FF2B5EF4-FFF2-40B4-BE49-F238E27FC236}">
                  <a16:creationId xmlns:a16="http://schemas.microsoft.com/office/drawing/2014/main" id="{00000000-0008-0000-0400-0000F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44</xdr:row>
          <xdr:rowOff>107950</xdr:rowOff>
        </xdr:from>
        <xdr:to>
          <xdr:col>12</xdr:col>
          <xdr:colOff>203200</xdr:colOff>
          <xdr:row>46</xdr:row>
          <xdr:rowOff>12700</xdr:rowOff>
        </xdr:to>
        <xdr:sp macro="" textlink="">
          <xdr:nvSpPr>
            <xdr:cNvPr id="18685" name="Check Box 253" hidden="1">
              <a:extLst>
                <a:ext uri="{63B3BB69-23CF-44E3-9099-C40C66FF867C}">
                  <a14:compatExt spid="_x0000_s18685"/>
                </a:ext>
                <a:ext uri="{FF2B5EF4-FFF2-40B4-BE49-F238E27FC236}">
                  <a16:creationId xmlns:a16="http://schemas.microsoft.com/office/drawing/2014/main" id="{00000000-0008-0000-0400-0000F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107950</xdr:rowOff>
        </xdr:from>
        <xdr:to>
          <xdr:col>17</xdr:col>
          <xdr:colOff>203200</xdr:colOff>
          <xdr:row>7</xdr:row>
          <xdr:rowOff>12700</xdr:rowOff>
        </xdr:to>
        <xdr:sp macro="" textlink="">
          <xdr:nvSpPr>
            <xdr:cNvPr id="18687" name="Check Box 255" hidden="1">
              <a:extLst>
                <a:ext uri="{63B3BB69-23CF-44E3-9099-C40C66FF867C}">
                  <a14:compatExt spid="_x0000_s18687"/>
                </a:ext>
                <a:ext uri="{FF2B5EF4-FFF2-40B4-BE49-F238E27FC236}">
                  <a16:creationId xmlns:a16="http://schemas.microsoft.com/office/drawing/2014/main" id="{00000000-0008-0000-0400-0000F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107950</xdr:rowOff>
        </xdr:from>
        <xdr:to>
          <xdr:col>17</xdr:col>
          <xdr:colOff>203200</xdr:colOff>
          <xdr:row>8</xdr:row>
          <xdr:rowOff>12700</xdr:rowOff>
        </xdr:to>
        <xdr:sp macro="" textlink="">
          <xdr:nvSpPr>
            <xdr:cNvPr id="18688" name="Check Box 256" hidden="1">
              <a:extLst>
                <a:ext uri="{63B3BB69-23CF-44E3-9099-C40C66FF867C}">
                  <a14:compatExt spid="_x0000_s18688"/>
                </a:ext>
                <a:ext uri="{FF2B5EF4-FFF2-40B4-BE49-F238E27FC236}">
                  <a16:creationId xmlns:a16="http://schemas.microsoft.com/office/drawing/2014/main" id="{00000000-0008-0000-0400-00000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107950</xdr:rowOff>
        </xdr:from>
        <xdr:to>
          <xdr:col>17</xdr:col>
          <xdr:colOff>203200</xdr:colOff>
          <xdr:row>9</xdr:row>
          <xdr:rowOff>12700</xdr:rowOff>
        </xdr:to>
        <xdr:sp macro="" textlink="">
          <xdr:nvSpPr>
            <xdr:cNvPr id="18689" name="Check Box 257" hidden="1">
              <a:extLst>
                <a:ext uri="{63B3BB69-23CF-44E3-9099-C40C66FF867C}">
                  <a14:compatExt spid="_x0000_s18689"/>
                </a:ext>
                <a:ext uri="{FF2B5EF4-FFF2-40B4-BE49-F238E27FC236}">
                  <a16:creationId xmlns:a16="http://schemas.microsoft.com/office/drawing/2014/main" id="{00000000-0008-0000-0400-00000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107950</xdr:rowOff>
        </xdr:from>
        <xdr:to>
          <xdr:col>17</xdr:col>
          <xdr:colOff>203200</xdr:colOff>
          <xdr:row>10</xdr:row>
          <xdr:rowOff>12700</xdr:rowOff>
        </xdr:to>
        <xdr:sp macro="" textlink="">
          <xdr:nvSpPr>
            <xdr:cNvPr id="18690" name="Check Box 258" hidden="1">
              <a:extLst>
                <a:ext uri="{63B3BB69-23CF-44E3-9099-C40C66FF867C}">
                  <a14:compatExt spid="_x0000_s18690"/>
                </a:ext>
                <a:ext uri="{FF2B5EF4-FFF2-40B4-BE49-F238E27FC236}">
                  <a16:creationId xmlns:a16="http://schemas.microsoft.com/office/drawing/2014/main" id="{00000000-0008-0000-0400-00000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107950</xdr:rowOff>
        </xdr:from>
        <xdr:to>
          <xdr:col>17</xdr:col>
          <xdr:colOff>203200</xdr:colOff>
          <xdr:row>11</xdr:row>
          <xdr:rowOff>12700</xdr:rowOff>
        </xdr:to>
        <xdr:sp macro="" textlink="">
          <xdr:nvSpPr>
            <xdr:cNvPr id="18691" name="Check Box 259" hidden="1">
              <a:extLst>
                <a:ext uri="{63B3BB69-23CF-44E3-9099-C40C66FF867C}">
                  <a14:compatExt spid="_x0000_s18691"/>
                </a:ext>
                <a:ext uri="{FF2B5EF4-FFF2-40B4-BE49-F238E27FC236}">
                  <a16:creationId xmlns:a16="http://schemas.microsoft.com/office/drawing/2014/main" id="{00000000-0008-0000-0400-00000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107950</xdr:rowOff>
        </xdr:from>
        <xdr:to>
          <xdr:col>17</xdr:col>
          <xdr:colOff>203200</xdr:colOff>
          <xdr:row>12</xdr:row>
          <xdr:rowOff>12700</xdr:rowOff>
        </xdr:to>
        <xdr:sp macro="" textlink="">
          <xdr:nvSpPr>
            <xdr:cNvPr id="18692" name="Check Box 260" hidden="1">
              <a:extLst>
                <a:ext uri="{63B3BB69-23CF-44E3-9099-C40C66FF867C}">
                  <a14:compatExt spid="_x0000_s18692"/>
                </a:ext>
                <a:ext uri="{FF2B5EF4-FFF2-40B4-BE49-F238E27FC236}">
                  <a16:creationId xmlns:a16="http://schemas.microsoft.com/office/drawing/2014/main" id="{00000000-0008-0000-0400-00000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107950</xdr:rowOff>
        </xdr:from>
        <xdr:to>
          <xdr:col>17</xdr:col>
          <xdr:colOff>203200</xdr:colOff>
          <xdr:row>13</xdr:row>
          <xdr:rowOff>12700</xdr:rowOff>
        </xdr:to>
        <xdr:sp macro="" textlink="">
          <xdr:nvSpPr>
            <xdr:cNvPr id="18693" name="Check Box 261" hidden="1">
              <a:extLst>
                <a:ext uri="{63B3BB69-23CF-44E3-9099-C40C66FF867C}">
                  <a14:compatExt spid="_x0000_s18693"/>
                </a:ext>
                <a:ext uri="{FF2B5EF4-FFF2-40B4-BE49-F238E27FC236}">
                  <a16:creationId xmlns:a16="http://schemas.microsoft.com/office/drawing/2014/main" id="{00000000-0008-0000-0400-00000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107950</xdr:rowOff>
        </xdr:from>
        <xdr:to>
          <xdr:col>17</xdr:col>
          <xdr:colOff>203200</xdr:colOff>
          <xdr:row>14</xdr:row>
          <xdr:rowOff>12700</xdr:rowOff>
        </xdr:to>
        <xdr:sp macro="" textlink="">
          <xdr:nvSpPr>
            <xdr:cNvPr id="18694" name="Check Box 262" hidden="1">
              <a:extLst>
                <a:ext uri="{63B3BB69-23CF-44E3-9099-C40C66FF867C}">
                  <a14:compatExt spid="_x0000_s18694"/>
                </a:ext>
                <a:ext uri="{FF2B5EF4-FFF2-40B4-BE49-F238E27FC236}">
                  <a16:creationId xmlns:a16="http://schemas.microsoft.com/office/drawing/2014/main" id="{00000000-0008-0000-0400-00000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107950</xdr:rowOff>
        </xdr:from>
        <xdr:to>
          <xdr:col>17</xdr:col>
          <xdr:colOff>203200</xdr:colOff>
          <xdr:row>15</xdr:row>
          <xdr:rowOff>12700</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400-00000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107950</xdr:rowOff>
        </xdr:from>
        <xdr:to>
          <xdr:col>17</xdr:col>
          <xdr:colOff>203200</xdr:colOff>
          <xdr:row>16</xdr:row>
          <xdr:rowOff>12700</xdr:rowOff>
        </xdr:to>
        <xdr:sp macro="" textlink="">
          <xdr:nvSpPr>
            <xdr:cNvPr id="18696" name="Check Box 264" hidden="1">
              <a:extLst>
                <a:ext uri="{63B3BB69-23CF-44E3-9099-C40C66FF867C}">
                  <a14:compatExt spid="_x0000_s18696"/>
                </a:ext>
                <a:ext uri="{FF2B5EF4-FFF2-40B4-BE49-F238E27FC236}">
                  <a16:creationId xmlns:a16="http://schemas.microsoft.com/office/drawing/2014/main" id="{00000000-0008-0000-0400-00000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xdr:row>
          <xdr:rowOff>107950</xdr:rowOff>
        </xdr:from>
        <xdr:to>
          <xdr:col>22</xdr:col>
          <xdr:colOff>203200</xdr:colOff>
          <xdr:row>7</xdr:row>
          <xdr:rowOff>12700</xdr:rowOff>
        </xdr:to>
        <xdr:sp macro="" textlink="">
          <xdr:nvSpPr>
            <xdr:cNvPr id="18698" name="Check Box 266" hidden="1">
              <a:extLst>
                <a:ext uri="{63B3BB69-23CF-44E3-9099-C40C66FF867C}">
                  <a14:compatExt spid="_x0000_s18698"/>
                </a:ext>
                <a:ext uri="{FF2B5EF4-FFF2-40B4-BE49-F238E27FC236}">
                  <a16:creationId xmlns:a16="http://schemas.microsoft.com/office/drawing/2014/main" id="{00000000-0008-0000-0400-00000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xdr:row>
          <xdr:rowOff>107950</xdr:rowOff>
        </xdr:from>
        <xdr:to>
          <xdr:col>22</xdr:col>
          <xdr:colOff>203200</xdr:colOff>
          <xdr:row>8</xdr:row>
          <xdr:rowOff>12700</xdr:rowOff>
        </xdr:to>
        <xdr:sp macro="" textlink="">
          <xdr:nvSpPr>
            <xdr:cNvPr id="18700" name="Check Box 268" hidden="1">
              <a:extLst>
                <a:ext uri="{63B3BB69-23CF-44E3-9099-C40C66FF867C}">
                  <a14:compatExt spid="_x0000_s18700"/>
                </a:ext>
                <a:ext uri="{FF2B5EF4-FFF2-40B4-BE49-F238E27FC236}">
                  <a16:creationId xmlns:a16="http://schemas.microsoft.com/office/drawing/2014/main" id="{00000000-0008-0000-0400-00000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xdr:row>
          <xdr:rowOff>107950</xdr:rowOff>
        </xdr:from>
        <xdr:to>
          <xdr:col>22</xdr:col>
          <xdr:colOff>203200</xdr:colOff>
          <xdr:row>9</xdr:row>
          <xdr:rowOff>12700</xdr:rowOff>
        </xdr:to>
        <xdr:sp macro="" textlink="">
          <xdr:nvSpPr>
            <xdr:cNvPr id="18701" name="Check Box 269" hidden="1">
              <a:extLst>
                <a:ext uri="{63B3BB69-23CF-44E3-9099-C40C66FF867C}">
                  <a14:compatExt spid="_x0000_s18701"/>
                </a:ext>
                <a:ext uri="{FF2B5EF4-FFF2-40B4-BE49-F238E27FC236}">
                  <a16:creationId xmlns:a16="http://schemas.microsoft.com/office/drawing/2014/main" id="{00000000-0008-0000-04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xdr:row>
          <xdr:rowOff>107950</xdr:rowOff>
        </xdr:from>
        <xdr:to>
          <xdr:col>22</xdr:col>
          <xdr:colOff>203200</xdr:colOff>
          <xdr:row>10</xdr:row>
          <xdr:rowOff>12700</xdr:rowOff>
        </xdr:to>
        <xdr:sp macro="" textlink="">
          <xdr:nvSpPr>
            <xdr:cNvPr id="18702" name="Check Box 270" hidden="1">
              <a:extLst>
                <a:ext uri="{63B3BB69-23CF-44E3-9099-C40C66FF867C}">
                  <a14:compatExt spid="_x0000_s18702"/>
                </a:ext>
                <a:ext uri="{FF2B5EF4-FFF2-40B4-BE49-F238E27FC236}">
                  <a16:creationId xmlns:a16="http://schemas.microsoft.com/office/drawing/2014/main" id="{00000000-0008-0000-0400-00000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107950</xdr:rowOff>
        </xdr:from>
        <xdr:to>
          <xdr:col>22</xdr:col>
          <xdr:colOff>203200</xdr:colOff>
          <xdr:row>11</xdr:row>
          <xdr:rowOff>12700</xdr:rowOff>
        </xdr:to>
        <xdr:sp macro="" textlink="">
          <xdr:nvSpPr>
            <xdr:cNvPr id="18703" name="Check Box 271" hidden="1">
              <a:extLst>
                <a:ext uri="{63B3BB69-23CF-44E3-9099-C40C66FF867C}">
                  <a14:compatExt spid="_x0000_s18703"/>
                </a:ext>
                <a:ext uri="{FF2B5EF4-FFF2-40B4-BE49-F238E27FC236}">
                  <a16:creationId xmlns:a16="http://schemas.microsoft.com/office/drawing/2014/main" id="{00000000-0008-0000-0400-00000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107950</xdr:rowOff>
        </xdr:from>
        <xdr:to>
          <xdr:col>22</xdr:col>
          <xdr:colOff>203200</xdr:colOff>
          <xdr:row>12</xdr:row>
          <xdr:rowOff>12700</xdr:rowOff>
        </xdr:to>
        <xdr:sp macro="" textlink="">
          <xdr:nvSpPr>
            <xdr:cNvPr id="18704" name="Check Box 272" hidden="1">
              <a:extLst>
                <a:ext uri="{63B3BB69-23CF-44E3-9099-C40C66FF867C}">
                  <a14:compatExt spid="_x0000_s18704"/>
                </a:ext>
                <a:ext uri="{FF2B5EF4-FFF2-40B4-BE49-F238E27FC236}">
                  <a16:creationId xmlns:a16="http://schemas.microsoft.com/office/drawing/2014/main" id="{00000000-0008-0000-0400-00001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xdr:row>
          <xdr:rowOff>107950</xdr:rowOff>
        </xdr:from>
        <xdr:to>
          <xdr:col>22</xdr:col>
          <xdr:colOff>203200</xdr:colOff>
          <xdr:row>13</xdr:row>
          <xdr:rowOff>12700</xdr:rowOff>
        </xdr:to>
        <xdr:sp macro="" textlink="">
          <xdr:nvSpPr>
            <xdr:cNvPr id="18705" name="Check Box 273" hidden="1">
              <a:extLst>
                <a:ext uri="{63B3BB69-23CF-44E3-9099-C40C66FF867C}">
                  <a14:compatExt spid="_x0000_s18705"/>
                </a:ext>
                <a:ext uri="{FF2B5EF4-FFF2-40B4-BE49-F238E27FC236}">
                  <a16:creationId xmlns:a16="http://schemas.microsoft.com/office/drawing/2014/main" id="{00000000-0008-0000-04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xdr:row>
          <xdr:rowOff>107950</xdr:rowOff>
        </xdr:from>
        <xdr:to>
          <xdr:col>22</xdr:col>
          <xdr:colOff>203200</xdr:colOff>
          <xdr:row>14</xdr:row>
          <xdr:rowOff>12700</xdr:rowOff>
        </xdr:to>
        <xdr:sp macro="" textlink="">
          <xdr:nvSpPr>
            <xdr:cNvPr id="18706" name="Check Box 274" hidden="1">
              <a:extLst>
                <a:ext uri="{63B3BB69-23CF-44E3-9099-C40C66FF867C}">
                  <a14:compatExt spid="_x0000_s18706"/>
                </a:ext>
                <a:ext uri="{FF2B5EF4-FFF2-40B4-BE49-F238E27FC236}">
                  <a16:creationId xmlns:a16="http://schemas.microsoft.com/office/drawing/2014/main" id="{00000000-0008-0000-04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xdr:row>
          <xdr:rowOff>107950</xdr:rowOff>
        </xdr:from>
        <xdr:to>
          <xdr:col>22</xdr:col>
          <xdr:colOff>203200</xdr:colOff>
          <xdr:row>15</xdr:row>
          <xdr:rowOff>12700</xdr:rowOff>
        </xdr:to>
        <xdr:sp macro="" textlink="">
          <xdr:nvSpPr>
            <xdr:cNvPr id="18707" name="Check Box 275" hidden="1">
              <a:extLst>
                <a:ext uri="{63B3BB69-23CF-44E3-9099-C40C66FF867C}">
                  <a14:compatExt spid="_x0000_s18707"/>
                </a:ext>
                <a:ext uri="{FF2B5EF4-FFF2-40B4-BE49-F238E27FC236}">
                  <a16:creationId xmlns:a16="http://schemas.microsoft.com/office/drawing/2014/main" id="{00000000-0008-0000-04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107950</xdr:rowOff>
        </xdr:from>
        <xdr:to>
          <xdr:col>22</xdr:col>
          <xdr:colOff>203200</xdr:colOff>
          <xdr:row>16</xdr:row>
          <xdr:rowOff>12700</xdr:rowOff>
        </xdr:to>
        <xdr:sp macro="" textlink="">
          <xdr:nvSpPr>
            <xdr:cNvPr id="18708" name="Check Box 276" hidden="1">
              <a:extLst>
                <a:ext uri="{63B3BB69-23CF-44E3-9099-C40C66FF867C}">
                  <a14:compatExt spid="_x0000_s18708"/>
                </a:ext>
                <a:ext uri="{FF2B5EF4-FFF2-40B4-BE49-F238E27FC236}">
                  <a16:creationId xmlns:a16="http://schemas.microsoft.com/office/drawing/2014/main" id="{00000000-0008-0000-04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15</xdr:row>
          <xdr:rowOff>107950</xdr:rowOff>
        </xdr:from>
        <xdr:to>
          <xdr:col>22</xdr:col>
          <xdr:colOff>203200</xdr:colOff>
          <xdr:row>17</xdr:row>
          <xdr:rowOff>12700</xdr:rowOff>
        </xdr:to>
        <xdr:sp macro="" textlink="">
          <xdr:nvSpPr>
            <xdr:cNvPr id="18709" name="Check Box 277" hidden="1">
              <a:extLst>
                <a:ext uri="{63B3BB69-23CF-44E3-9099-C40C66FF867C}">
                  <a14:compatExt spid="_x0000_s18709"/>
                </a:ext>
                <a:ext uri="{FF2B5EF4-FFF2-40B4-BE49-F238E27FC236}">
                  <a16:creationId xmlns:a16="http://schemas.microsoft.com/office/drawing/2014/main" id="{00000000-0008-0000-0400-00001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107950</xdr:rowOff>
        </xdr:from>
        <xdr:to>
          <xdr:col>22</xdr:col>
          <xdr:colOff>203200</xdr:colOff>
          <xdr:row>18</xdr:row>
          <xdr:rowOff>12700</xdr:rowOff>
        </xdr:to>
        <xdr:sp macro="" textlink="">
          <xdr:nvSpPr>
            <xdr:cNvPr id="18710" name="Check Box 278" hidden="1">
              <a:extLst>
                <a:ext uri="{63B3BB69-23CF-44E3-9099-C40C66FF867C}">
                  <a14:compatExt spid="_x0000_s18710"/>
                </a:ext>
                <a:ext uri="{FF2B5EF4-FFF2-40B4-BE49-F238E27FC236}">
                  <a16:creationId xmlns:a16="http://schemas.microsoft.com/office/drawing/2014/main" id="{00000000-0008-0000-0400-00001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xdr:row>
          <xdr:rowOff>107950</xdr:rowOff>
        </xdr:from>
        <xdr:to>
          <xdr:col>22</xdr:col>
          <xdr:colOff>203200</xdr:colOff>
          <xdr:row>19</xdr:row>
          <xdr:rowOff>12700</xdr:rowOff>
        </xdr:to>
        <xdr:sp macro="" textlink="">
          <xdr:nvSpPr>
            <xdr:cNvPr id="18711" name="Check Box 279" hidden="1">
              <a:extLst>
                <a:ext uri="{63B3BB69-23CF-44E3-9099-C40C66FF867C}">
                  <a14:compatExt spid="_x0000_s18711"/>
                </a:ext>
                <a:ext uri="{FF2B5EF4-FFF2-40B4-BE49-F238E27FC236}">
                  <a16:creationId xmlns:a16="http://schemas.microsoft.com/office/drawing/2014/main" id="{00000000-0008-0000-04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107950</xdr:rowOff>
        </xdr:from>
        <xdr:to>
          <xdr:col>22</xdr:col>
          <xdr:colOff>203200</xdr:colOff>
          <xdr:row>20</xdr:row>
          <xdr:rowOff>12700</xdr:rowOff>
        </xdr:to>
        <xdr:sp macro="" textlink="">
          <xdr:nvSpPr>
            <xdr:cNvPr id="18712" name="Check Box 280" hidden="1">
              <a:extLst>
                <a:ext uri="{63B3BB69-23CF-44E3-9099-C40C66FF867C}">
                  <a14:compatExt spid="_x0000_s18712"/>
                </a:ext>
                <a:ext uri="{FF2B5EF4-FFF2-40B4-BE49-F238E27FC236}">
                  <a16:creationId xmlns:a16="http://schemas.microsoft.com/office/drawing/2014/main" id="{00000000-0008-0000-04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107950</xdr:rowOff>
        </xdr:from>
        <xdr:to>
          <xdr:col>22</xdr:col>
          <xdr:colOff>203200</xdr:colOff>
          <xdr:row>21</xdr:row>
          <xdr:rowOff>12700</xdr:rowOff>
        </xdr:to>
        <xdr:sp macro="" textlink="">
          <xdr:nvSpPr>
            <xdr:cNvPr id="18713" name="Check Box 281" hidden="1">
              <a:extLst>
                <a:ext uri="{63B3BB69-23CF-44E3-9099-C40C66FF867C}">
                  <a14:compatExt spid="_x0000_s18713"/>
                </a:ext>
                <a:ext uri="{FF2B5EF4-FFF2-40B4-BE49-F238E27FC236}">
                  <a16:creationId xmlns:a16="http://schemas.microsoft.com/office/drawing/2014/main" id="{00000000-0008-0000-0400-00001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xdr:row>
          <xdr:rowOff>107950</xdr:rowOff>
        </xdr:from>
        <xdr:to>
          <xdr:col>22</xdr:col>
          <xdr:colOff>203200</xdr:colOff>
          <xdr:row>22</xdr:row>
          <xdr:rowOff>12700</xdr:rowOff>
        </xdr:to>
        <xdr:sp macro="" textlink="">
          <xdr:nvSpPr>
            <xdr:cNvPr id="18714" name="Check Box 282" hidden="1">
              <a:extLst>
                <a:ext uri="{63B3BB69-23CF-44E3-9099-C40C66FF867C}">
                  <a14:compatExt spid="_x0000_s18714"/>
                </a:ext>
                <a:ext uri="{FF2B5EF4-FFF2-40B4-BE49-F238E27FC236}">
                  <a16:creationId xmlns:a16="http://schemas.microsoft.com/office/drawing/2014/main" id="{00000000-0008-0000-0400-00001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xdr:row>
          <xdr:rowOff>107950</xdr:rowOff>
        </xdr:from>
        <xdr:to>
          <xdr:col>22</xdr:col>
          <xdr:colOff>203200</xdr:colOff>
          <xdr:row>23</xdr:row>
          <xdr:rowOff>12700</xdr:rowOff>
        </xdr:to>
        <xdr:sp macro="" textlink="">
          <xdr:nvSpPr>
            <xdr:cNvPr id="18715" name="Check Box 283" hidden="1">
              <a:extLst>
                <a:ext uri="{63B3BB69-23CF-44E3-9099-C40C66FF867C}">
                  <a14:compatExt spid="_x0000_s18715"/>
                </a:ext>
                <a:ext uri="{FF2B5EF4-FFF2-40B4-BE49-F238E27FC236}">
                  <a16:creationId xmlns:a16="http://schemas.microsoft.com/office/drawing/2014/main" id="{00000000-0008-0000-0400-00001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107950</xdr:rowOff>
        </xdr:from>
        <xdr:to>
          <xdr:col>22</xdr:col>
          <xdr:colOff>203200</xdr:colOff>
          <xdr:row>24</xdr:row>
          <xdr:rowOff>12700</xdr:rowOff>
        </xdr:to>
        <xdr:sp macro="" textlink="">
          <xdr:nvSpPr>
            <xdr:cNvPr id="18716" name="Check Box 284" hidden="1">
              <a:extLst>
                <a:ext uri="{63B3BB69-23CF-44E3-9099-C40C66FF867C}">
                  <a14:compatExt spid="_x0000_s18716"/>
                </a:ext>
                <a:ext uri="{FF2B5EF4-FFF2-40B4-BE49-F238E27FC236}">
                  <a16:creationId xmlns:a16="http://schemas.microsoft.com/office/drawing/2014/main" id="{00000000-0008-0000-0400-00001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xdr:row>
          <xdr:rowOff>107950</xdr:rowOff>
        </xdr:from>
        <xdr:to>
          <xdr:col>22</xdr:col>
          <xdr:colOff>203200</xdr:colOff>
          <xdr:row>25</xdr:row>
          <xdr:rowOff>12700</xdr:rowOff>
        </xdr:to>
        <xdr:sp macro="" textlink="">
          <xdr:nvSpPr>
            <xdr:cNvPr id="18717" name="Check Box 285" hidden="1">
              <a:extLst>
                <a:ext uri="{63B3BB69-23CF-44E3-9099-C40C66FF867C}">
                  <a14:compatExt spid="_x0000_s18717"/>
                </a:ext>
                <a:ext uri="{FF2B5EF4-FFF2-40B4-BE49-F238E27FC236}">
                  <a16:creationId xmlns:a16="http://schemas.microsoft.com/office/drawing/2014/main" id="{00000000-0008-0000-0400-00001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107950</xdr:rowOff>
        </xdr:from>
        <xdr:to>
          <xdr:col>22</xdr:col>
          <xdr:colOff>203200</xdr:colOff>
          <xdr:row>26</xdr:row>
          <xdr:rowOff>12700</xdr:rowOff>
        </xdr:to>
        <xdr:sp macro="" textlink="">
          <xdr:nvSpPr>
            <xdr:cNvPr id="18718" name="Check Box 286" hidden="1">
              <a:extLst>
                <a:ext uri="{63B3BB69-23CF-44E3-9099-C40C66FF867C}">
                  <a14:compatExt spid="_x0000_s18718"/>
                </a:ext>
                <a:ext uri="{FF2B5EF4-FFF2-40B4-BE49-F238E27FC236}">
                  <a16:creationId xmlns:a16="http://schemas.microsoft.com/office/drawing/2014/main" id="{00000000-0008-0000-0400-00001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107950</xdr:rowOff>
        </xdr:from>
        <xdr:to>
          <xdr:col>22</xdr:col>
          <xdr:colOff>203200</xdr:colOff>
          <xdr:row>27</xdr:row>
          <xdr:rowOff>12700</xdr:rowOff>
        </xdr:to>
        <xdr:sp macro="" textlink="">
          <xdr:nvSpPr>
            <xdr:cNvPr id="18719" name="Check Box 287" hidden="1">
              <a:extLst>
                <a:ext uri="{63B3BB69-23CF-44E3-9099-C40C66FF867C}">
                  <a14:compatExt spid="_x0000_s18719"/>
                </a:ext>
                <a:ext uri="{FF2B5EF4-FFF2-40B4-BE49-F238E27FC236}">
                  <a16:creationId xmlns:a16="http://schemas.microsoft.com/office/drawing/2014/main" id="{00000000-0008-0000-0400-00001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xdr:row>
          <xdr:rowOff>107950</xdr:rowOff>
        </xdr:from>
        <xdr:to>
          <xdr:col>22</xdr:col>
          <xdr:colOff>203200</xdr:colOff>
          <xdr:row>28</xdr:row>
          <xdr:rowOff>12700</xdr:rowOff>
        </xdr:to>
        <xdr:sp macro="" textlink="">
          <xdr:nvSpPr>
            <xdr:cNvPr id="18720" name="Check Box 288" hidden="1">
              <a:extLst>
                <a:ext uri="{63B3BB69-23CF-44E3-9099-C40C66FF867C}">
                  <a14:compatExt spid="_x0000_s18720"/>
                </a:ext>
                <a:ext uri="{FF2B5EF4-FFF2-40B4-BE49-F238E27FC236}">
                  <a16:creationId xmlns:a16="http://schemas.microsoft.com/office/drawing/2014/main" id="{00000000-0008-0000-04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107950</xdr:rowOff>
        </xdr:from>
        <xdr:to>
          <xdr:col>22</xdr:col>
          <xdr:colOff>203200</xdr:colOff>
          <xdr:row>29</xdr:row>
          <xdr:rowOff>12700</xdr:rowOff>
        </xdr:to>
        <xdr:sp macro="" textlink="">
          <xdr:nvSpPr>
            <xdr:cNvPr id="18721" name="Check Box 289" hidden="1">
              <a:extLst>
                <a:ext uri="{63B3BB69-23CF-44E3-9099-C40C66FF867C}">
                  <a14:compatExt spid="_x0000_s18721"/>
                </a:ext>
                <a:ext uri="{FF2B5EF4-FFF2-40B4-BE49-F238E27FC236}">
                  <a16:creationId xmlns:a16="http://schemas.microsoft.com/office/drawing/2014/main" id="{00000000-0008-0000-0400-00002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28</xdr:row>
          <xdr:rowOff>107950</xdr:rowOff>
        </xdr:from>
        <xdr:to>
          <xdr:col>22</xdr:col>
          <xdr:colOff>203200</xdr:colOff>
          <xdr:row>30</xdr:row>
          <xdr:rowOff>12700</xdr:rowOff>
        </xdr:to>
        <xdr:sp macro="" textlink="">
          <xdr:nvSpPr>
            <xdr:cNvPr id="18722" name="Check Box 290" hidden="1">
              <a:extLst>
                <a:ext uri="{63B3BB69-23CF-44E3-9099-C40C66FF867C}">
                  <a14:compatExt spid="_x0000_s18722"/>
                </a:ext>
                <a:ext uri="{FF2B5EF4-FFF2-40B4-BE49-F238E27FC236}">
                  <a16:creationId xmlns:a16="http://schemas.microsoft.com/office/drawing/2014/main" id="{00000000-0008-0000-0400-00002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107950</xdr:rowOff>
        </xdr:from>
        <xdr:to>
          <xdr:col>22</xdr:col>
          <xdr:colOff>203200</xdr:colOff>
          <xdr:row>31</xdr:row>
          <xdr:rowOff>12700</xdr:rowOff>
        </xdr:to>
        <xdr:sp macro="" textlink="">
          <xdr:nvSpPr>
            <xdr:cNvPr id="18723" name="Check Box 291" hidden="1">
              <a:extLst>
                <a:ext uri="{63B3BB69-23CF-44E3-9099-C40C66FF867C}">
                  <a14:compatExt spid="_x0000_s18723"/>
                </a:ext>
                <a:ext uri="{FF2B5EF4-FFF2-40B4-BE49-F238E27FC236}">
                  <a16:creationId xmlns:a16="http://schemas.microsoft.com/office/drawing/2014/main" id="{00000000-0008-0000-0400-00002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107950</xdr:rowOff>
        </xdr:from>
        <xdr:to>
          <xdr:col>22</xdr:col>
          <xdr:colOff>203200</xdr:colOff>
          <xdr:row>32</xdr:row>
          <xdr:rowOff>12700</xdr:rowOff>
        </xdr:to>
        <xdr:sp macro="" textlink="">
          <xdr:nvSpPr>
            <xdr:cNvPr id="18724" name="Check Box 292" hidden="1">
              <a:extLst>
                <a:ext uri="{63B3BB69-23CF-44E3-9099-C40C66FF867C}">
                  <a14:compatExt spid="_x0000_s18724"/>
                </a:ext>
                <a:ext uri="{FF2B5EF4-FFF2-40B4-BE49-F238E27FC236}">
                  <a16:creationId xmlns:a16="http://schemas.microsoft.com/office/drawing/2014/main" id="{00000000-0008-0000-04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31</xdr:row>
          <xdr:rowOff>107950</xdr:rowOff>
        </xdr:from>
        <xdr:to>
          <xdr:col>22</xdr:col>
          <xdr:colOff>203200</xdr:colOff>
          <xdr:row>33</xdr:row>
          <xdr:rowOff>12700</xdr:rowOff>
        </xdr:to>
        <xdr:sp macro="" textlink="">
          <xdr:nvSpPr>
            <xdr:cNvPr id="18725" name="Check Box 293" hidden="1">
              <a:extLst>
                <a:ext uri="{63B3BB69-23CF-44E3-9099-C40C66FF867C}">
                  <a14:compatExt spid="_x0000_s18725"/>
                </a:ext>
                <a:ext uri="{FF2B5EF4-FFF2-40B4-BE49-F238E27FC236}">
                  <a16:creationId xmlns:a16="http://schemas.microsoft.com/office/drawing/2014/main" id="{00000000-0008-0000-0400-00002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32</xdr:row>
          <xdr:rowOff>107950</xdr:rowOff>
        </xdr:from>
        <xdr:to>
          <xdr:col>22</xdr:col>
          <xdr:colOff>203200</xdr:colOff>
          <xdr:row>34</xdr:row>
          <xdr:rowOff>12700</xdr:rowOff>
        </xdr:to>
        <xdr:sp macro="" textlink="">
          <xdr:nvSpPr>
            <xdr:cNvPr id="18726" name="Check Box 294" hidden="1">
              <a:extLst>
                <a:ext uri="{63B3BB69-23CF-44E3-9099-C40C66FF867C}">
                  <a14:compatExt spid="_x0000_s18726"/>
                </a:ext>
                <a:ext uri="{FF2B5EF4-FFF2-40B4-BE49-F238E27FC236}">
                  <a16:creationId xmlns:a16="http://schemas.microsoft.com/office/drawing/2014/main" id="{00000000-0008-0000-0400-00002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107950</xdr:rowOff>
        </xdr:from>
        <xdr:to>
          <xdr:col>22</xdr:col>
          <xdr:colOff>203200</xdr:colOff>
          <xdr:row>35</xdr:row>
          <xdr:rowOff>12700</xdr:rowOff>
        </xdr:to>
        <xdr:sp macro="" textlink="">
          <xdr:nvSpPr>
            <xdr:cNvPr id="18727" name="Check Box 295" hidden="1">
              <a:extLst>
                <a:ext uri="{63B3BB69-23CF-44E3-9099-C40C66FF867C}">
                  <a14:compatExt spid="_x0000_s18727"/>
                </a:ext>
                <a:ext uri="{FF2B5EF4-FFF2-40B4-BE49-F238E27FC236}">
                  <a16:creationId xmlns:a16="http://schemas.microsoft.com/office/drawing/2014/main" id="{00000000-0008-0000-0400-00002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34</xdr:row>
          <xdr:rowOff>107950</xdr:rowOff>
        </xdr:from>
        <xdr:to>
          <xdr:col>22</xdr:col>
          <xdr:colOff>203200</xdr:colOff>
          <xdr:row>36</xdr:row>
          <xdr:rowOff>12700</xdr:rowOff>
        </xdr:to>
        <xdr:sp macro="" textlink="">
          <xdr:nvSpPr>
            <xdr:cNvPr id="18728" name="Check Box 296" hidden="1">
              <a:extLst>
                <a:ext uri="{63B3BB69-23CF-44E3-9099-C40C66FF867C}">
                  <a14:compatExt spid="_x0000_s18728"/>
                </a:ext>
                <a:ext uri="{FF2B5EF4-FFF2-40B4-BE49-F238E27FC236}">
                  <a16:creationId xmlns:a16="http://schemas.microsoft.com/office/drawing/2014/main" id="{00000000-0008-0000-0400-00002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xdr:row>
          <xdr:rowOff>107950</xdr:rowOff>
        </xdr:from>
        <xdr:to>
          <xdr:col>22</xdr:col>
          <xdr:colOff>203200</xdr:colOff>
          <xdr:row>37</xdr:row>
          <xdr:rowOff>12700</xdr:rowOff>
        </xdr:to>
        <xdr:sp macro="" textlink="">
          <xdr:nvSpPr>
            <xdr:cNvPr id="18729" name="Check Box 297" hidden="1">
              <a:extLst>
                <a:ext uri="{63B3BB69-23CF-44E3-9099-C40C66FF867C}">
                  <a14:compatExt spid="_x0000_s18729"/>
                </a:ext>
                <a:ext uri="{FF2B5EF4-FFF2-40B4-BE49-F238E27FC236}">
                  <a16:creationId xmlns:a16="http://schemas.microsoft.com/office/drawing/2014/main" id="{00000000-0008-0000-0400-00002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36</xdr:row>
          <xdr:rowOff>107950</xdr:rowOff>
        </xdr:from>
        <xdr:to>
          <xdr:col>22</xdr:col>
          <xdr:colOff>203200</xdr:colOff>
          <xdr:row>38</xdr:row>
          <xdr:rowOff>12700</xdr:rowOff>
        </xdr:to>
        <xdr:sp macro="" textlink="">
          <xdr:nvSpPr>
            <xdr:cNvPr id="18730" name="Check Box 298" hidden="1">
              <a:extLst>
                <a:ext uri="{63B3BB69-23CF-44E3-9099-C40C66FF867C}">
                  <a14:compatExt spid="_x0000_s18730"/>
                </a:ext>
                <a:ext uri="{FF2B5EF4-FFF2-40B4-BE49-F238E27FC236}">
                  <a16:creationId xmlns:a16="http://schemas.microsoft.com/office/drawing/2014/main" id="{00000000-0008-0000-0400-00002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37</xdr:row>
          <xdr:rowOff>107950</xdr:rowOff>
        </xdr:from>
        <xdr:to>
          <xdr:col>22</xdr:col>
          <xdr:colOff>203200</xdr:colOff>
          <xdr:row>39</xdr:row>
          <xdr:rowOff>12700</xdr:rowOff>
        </xdr:to>
        <xdr:sp macro="" textlink="">
          <xdr:nvSpPr>
            <xdr:cNvPr id="18731" name="Check Box 299" hidden="1">
              <a:extLst>
                <a:ext uri="{63B3BB69-23CF-44E3-9099-C40C66FF867C}">
                  <a14:compatExt spid="_x0000_s18731"/>
                </a:ext>
                <a:ext uri="{FF2B5EF4-FFF2-40B4-BE49-F238E27FC236}">
                  <a16:creationId xmlns:a16="http://schemas.microsoft.com/office/drawing/2014/main" id="{00000000-0008-0000-0400-00002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107950</xdr:rowOff>
        </xdr:from>
        <xdr:to>
          <xdr:col>22</xdr:col>
          <xdr:colOff>203200</xdr:colOff>
          <xdr:row>41</xdr:row>
          <xdr:rowOff>12700</xdr:rowOff>
        </xdr:to>
        <xdr:sp macro="" textlink="">
          <xdr:nvSpPr>
            <xdr:cNvPr id="18732" name="Check Box 300" hidden="1">
              <a:extLst>
                <a:ext uri="{63B3BB69-23CF-44E3-9099-C40C66FF867C}">
                  <a14:compatExt spid="_x0000_s18732"/>
                </a:ext>
                <a:ext uri="{FF2B5EF4-FFF2-40B4-BE49-F238E27FC236}">
                  <a16:creationId xmlns:a16="http://schemas.microsoft.com/office/drawing/2014/main" id="{00000000-0008-0000-0400-00002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107950</xdr:rowOff>
        </xdr:from>
        <xdr:to>
          <xdr:col>22</xdr:col>
          <xdr:colOff>203200</xdr:colOff>
          <xdr:row>40</xdr:row>
          <xdr:rowOff>12700</xdr:rowOff>
        </xdr:to>
        <xdr:sp macro="" textlink="">
          <xdr:nvSpPr>
            <xdr:cNvPr id="18733" name="Check Box 301" hidden="1">
              <a:extLst>
                <a:ext uri="{63B3BB69-23CF-44E3-9099-C40C66FF867C}">
                  <a14:compatExt spid="_x0000_s18733"/>
                </a:ext>
                <a:ext uri="{FF2B5EF4-FFF2-40B4-BE49-F238E27FC236}">
                  <a16:creationId xmlns:a16="http://schemas.microsoft.com/office/drawing/2014/main" id="{00000000-0008-0000-0400-00002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107950</xdr:rowOff>
        </xdr:from>
        <xdr:to>
          <xdr:col>22</xdr:col>
          <xdr:colOff>203200</xdr:colOff>
          <xdr:row>42</xdr:row>
          <xdr:rowOff>12700</xdr:rowOff>
        </xdr:to>
        <xdr:sp macro="" textlink="">
          <xdr:nvSpPr>
            <xdr:cNvPr id="18734" name="Check Box 302" hidden="1">
              <a:extLst>
                <a:ext uri="{63B3BB69-23CF-44E3-9099-C40C66FF867C}">
                  <a14:compatExt spid="_x0000_s18734"/>
                </a:ext>
                <a:ext uri="{FF2B5EF4-FFF2-40B4-BE49-F238E27FC236}">
                  <a16:creationId xmlns:a16="http://schemas.microsoft.com/office/drawing/2014/main" id="{00000000-0008-0000-04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41</xdr:row>
          <xdr:rowOff>107950</xdr:rowOff>
        </xdr:from>
        <xdr:to>
          <xdr:col>22</xdr:col>
          <xdr:colOff>203200</xdr:colOff>
          <xdr:row>43</xdr:row>
          <xdr:rowOff>12700</xdr:rowOff>
        </xdr:to>
        <xdr:sp macro="" textlink="">
          <xdr:nvSpPr>
            <xdr:cNvPr id="18735" name="Check Box 303" hidden="1">
              <a:extLst>
                <a:ext uri="{63B3BB69-23CF-44E3-9099-C40C66FF867C}">
                  <a14:compatExt spid="_x0000_s18735"/>
                </a:ext>
                <a:ext uri="{FF2B5EF4-FFF2-40B4-BE49-F238E27FC236}">
                  <a16:creationId xmlns:a16="http://schemas.microsoft.com/office/drawing/2014/main" id="{00000000-0008-0000-04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42</xdr:row>
          <xdr:rowOff>107950</xdr:rowOff>
        </xdr:from>
        <xdr:to>
          <xdr:col>22</xdr:col>
          <xdr:colOff>203200</xdr:colOff>
          <xdr:row>44</xdr:row>
          <xdr:rowOff>12700</xdr:rowOff>
        </xdr:to>
        <xdr:sp macro="" textlink="">
          <xdr:nvSpPr>
            <xdr:cNvPr id="18736" name="Check Box 304" hidden="1">
              <a:extLst>
                <a:ext uri="{63B3BB69-23CF-44E3-9099-C40C66FF867C}">
                  <a14:compatExt spid="_x0000_s18736"/>
                </a:ext>
                <a:ext uri="{FF2B5EF4-FFF2-40B4-BE49-F238E27FC236}">
                  <a16:creationId xmlns:a16="http://schemas.microsoft.com/office/drawing/2014/main" id="{00000000-0008-0000-04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43</xdr:row>
          <xdr:rowOff>107950</xdr:rowOff>
        </xdr:from>
        <xdr:to>
          <xdr:col>22</xdr:col>
          <xdr:colOff>203200</xdr:colOff>
          <xdr:row>45</xdr:row>
          <xdr:rowOff>12700</xdr:rowOff>
        </xdr:to>
        <xdr:sp macro="" textlink="">
          <xdr:nvSpPr>
            <xdr:cNvPr id="18737" name="Check Box 305" hidden="1">
              <a:extLst>
                <a:ext uri="{63B3BB69-23CF-44E3-9099-C40C66FF867C}">
                  <a14:compatExt spid="_x0000_s18737"/>
                </a:ext>
                <a:ext uri="{FF2B5EF4-FFF2-40B4-BE49-F238E27FC236}">
                  <a16:creationId xmlns:a16="http://schemas.microsoft.com/office/drawing/2014/main" id="{00000000-0008-0000-04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44</xdr:row>
          <xdr:rowOff>107950</xdr:rowOff>
        </xdr:from>
        <xdr:to>
          <xdr:col>22</xdr:col>
          <xdr:colOff>203200</xdr:colOff>
          <xdr:row>46</xdr:row>
          <xdr:rowOff>12700</xdr:rowOff>
        </xdr:to>
        <xdr:sp macro="" textlink="">
          <xdr:nvSpPr>
            <xdr:cNvPr id="18738" name="Check Box 306" hidden="1">
              <a:extLst>
                <a:ext uri="{63B3BB69-23CF-44E3-9099-C40C66FF867C}">
                  <a14:compatExt spid="_x0000_s18738"/>
                </a:ext>
                <a:ext uri="{FF2B5EF4-FFF2-40B4-BE49-F238E27FC236}">
                  <a16:creationId xmlns:a16="http://schemas.microsoft.com/office/drawing/2014/main" id="{00000000-0008-0000-04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xdr:row>
          <xdr:rowOff>107950</xdr:rowOff>
        </xdr:from>
        <xdr:to>
          <xdr:col>27</xdr:col>
          <xdr:colOff>203200</xdr:colOff>
          <xdr:row>7</xdr:row>
          <xdr:rowOff>12700</xdr:rowOff>
        </xdr:to>
        <xdr:sp macro="" textlink="">
          <xdr:nvSpPr>
            <xdr:cNvPr id="18739" name="Check Box 307" hidden="1">
              <a:extLst>
                <a:ext uri="{63B3BB69-23CF-44E3-9099-C40C66FF867C}">
                  <a14:compatExt spid="_x0000_s18739"/>
                </a:ext>
                <a:ext uri="{FF2B5EF4-FFF2-40B4-BE49-F238E27FC236}">
                  <a16:creationId xmlns:a16="http://schemas.microsoft.com/office/drawing/2014/main" id="{00000000-0008-0000-0400-00003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xdr:row>
          <xdr:rowOff>107950</xdr:rowOff>
        </xdr:from>
        <xdr:to>
          <xdr:col>27</xdr:col>
          <xdr:colOff>203200</xdr:colOff>
          <xdr:row>8</xdr:row>
          <xdr:rowOff>12700</xdr:rowOff>
        </xdr:to>
        <xdr:sp macro="" textlink="">
          <xdr:nvSpPr>
            <xdr:cNvPr id="18740" name="Check Box 308" hidden="1">
              <a:extLst>
                <a:ext uri="{63B3BB69-23CF-44E3-9099-C40C66FF867C}">
                  <a14:compatExt spid="_x0000_s18740"/>
                </a:ext>
                <a:ext uri="{FF2B5EF4-FFF2-40B4-BE49-F238E27FC236}">
                  <a16:creationId xmlns:a16="http://schemas.microsoft.com/office/drawing/2014/main" id="{00000000-0008-0000-0400-00003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107950</xdr:rowOff>
        </xdr:from>
        <xdr:to>
          <xdr:col>27</xdr:col>
          <xdr:colOff>203200</xdr:colOff>
          <xdr:row>9</xdr:row>
          <xdr:rowOff>12700</xdr:rowOff>
        </xdr:to>
        <xdr:sp macro="" textlink="">
          <xdr:nvSpPr>
            <xdr:cNvPr id="18741" name="Check Box 309" hidden="1">
              <a:extLst>
                <a:ext uri="{63B3BB69-23CF-44E3-9099-C40C66FF867C}">
                  <a14:compatExt spid="_x0000_s18741"/>
                </a:ext>
                <a:ext uri="{FF2B5EF4-FFF2-40B4-BE49-F238E27FC236}">
                  <a16:creationId xmlns:a16="http://schemas.microsoft.com/office/drawing/2014/main" id="{00000000-0008-0000-04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107950</xdr:rowOff>
        </xdr:from>
        <xdr:to>
          <xdr:col>27</xdr:col>
          <xdr:colOff>203200</xdr:colOff>
          <xdr:row>10</xdr:row>
          <xdr:rowOff>12700</xdr:rowOff>
        </xdr:to>
        <xdr:sp macro="" textlink="">
          <xdr:nvSpPr>
            <xdr:cNvPr id="18742" name="Check Box 310" hidden="1">
              <a:extLst>
                <a:ext uri="{63B3BB69-23CF-44E3-9099-C40C66FF867C}">
                  <a14:compatExt spid="_x0000_s18742"/>
                </a:ext>
                <a:ext uri="{FF2B5EF4-FFF2-40B4-BE49-F238E27FC236}">
                  <a16:creationId xmlns:a16="http://schemas.microsoft.com/office/drawing/2014/main" id="{00000000-0008-0000-04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107950</xdr:rowOff>
        </xdr:from>
        <xdr:to>
          <xdr:col>27</xdr:col>
          <xdr:colOff>203200</xdr:colOff>
          <xdr:row>11</xdr:row>
          <xdr:rowOff>12700</xdr:rowOff>
        </xdr:to>
        <xdr:sp macro="" textlink="">
          <xdr:nvSpPr>
            <xdr:cNvPr id="18743" name="Check Box 311" hidden="1">
              <a:extLst>
                <a:ext uri="{63B3BB69-23CF-44E3-9099-C40C66FF867C}">
                  <a14:compatExt spid="_x0000_s18743"/>
                </a:ext>
                <a:ext uri="{FF2B5EF4-FFF2-40B4-BE49-F238E27FC236}">
                  <a16:creationId xmlns:a16="http://schemas.microsoft.com/office/drawing/2014/main" id="{00000000-0008-0000-0400-00003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107950</xdr:rowOff>
        </xdr:from>
        <xdr:to>
          <xdr:col>27</xdr:col>
          <xdr:colOff>203200</xdr:colOff>
          <xdr:row>12</xdr:row>
          <xdr:rowOff>12700</xdr:rowOff>
        </xdr:to>
        <xdr:sp macro="" textlink="">
          <xdr:nvSpPr>
            <xdr:cNvPr id="18744" name="Check Box 312" hidden="1">
              <a:extLst>
                <a:ext uri="{63B3BB69-23CF-44E3-9099-C40C66FF867C}">
                  <a14:compatExt spid="_x0000_s18744"/>
                </a:ext>
                <a:ext uri="{FF2B5EF4-FFF2-40B4-BE49-F238E27FC236}">
                  <a16:creationId xmlns:a16="http://schemas.microsoft.com/office/drawing/2014/main" id="{00000000-0008-0000-0400-00003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107950</xdr:rowOff>
        </xdr:from>
        <xdr:to>
          <xdr:col>27</xdr:col>
          <xdr:colOff>203200</xdr:colOff>
          <xdr:row>13</xdr:row>
          <xdr:rowOff>12700</xdr:rowOff>
        </xdr:to>
        <xdr:sp macro="" textlink="">
          <xdr:nvSpPr>
            <xdr:cNvPr id="18745" name="Check Box 313" hidden="1">
              <a:extLst>
                <a:ext uri="{63B3BB69-23CF-44E3-9099-C40C66FF867C}">
                  <a14:compatExt spid="_x0000_s18745"/>
                </a:ext>
                <a:ext uri="{FF2B5EF4-FFF2-40B4-BE49-F238E27FC236}">
                  <a16:creationId xmlns:a16="http://schemas.microsoft.com/office/drawing/2014/main" id="{00000000-0008-0000-04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xdr:row>
          <xdr:rowOff>107950</xdr:rowOff>
        </xdr:from>
        <xdr:to>
          <xdr:col>27</xdr:col>
          <xdr:colOff>203200</xdr:colOff>
          <xdr:row>14</xdr:row>
          <xdr:rowOff>12700</xdr:rowOff>
        </xdr:to>
        <xdr:sp macro="" textlink="">
          <xdr:nvSpPr>
            <xdr:cNvPr id="18746" name="Check Box 314" hidden="1">
              <a:extLst>
                <a:ext uri="{63B3BB69-23CF-44E3-9099-C40C66FF867C}">
                  <a14:compatExt spid="_x0000_s18746"/>
                </a:ext>
                <a:ext uri="{FF2B5EF4-FFF2-40B4-BE49-F238E27FC236}">
                  <a16:creationId xmlns:a16="http://schemas.microsoft.com/office/drawing/2014/main" id="{00000000-0008-0000-0400-00003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107950</xdr:rowOff>
        </xdr:from>
        <xdr:to>
          <xdr:col>27</xdr:col>
          <xdr:colOff>203200</xdr:colOff>
          <xdr:row>15</xdr:row>
          <xdr:rowOff>12700</xdr:rowOff>
        </xdr:to>
        <xdr:sp macro="" textlink="">
          <xdr:nvSpPr>
            <xdr:cNvPr id="18747" name="Check Box 315" hidden="1">
              <a:extLst>
                <a:ext uri="{63B3BB69-23CF-44E3-9099-C40C66FF867C}">
                  <a14:compatExt spid="_x0000_s18747"/>
                </a:ext>
                <a:ext uri="{FF2B5EF4-FFF2-40B4-BE49-F238E27FC236}">
                  <a16:creationId xmlns:a16="http://schemas.microsoft.com/office/drawing/2014/main" id="{00000000-0008-0000-0400-00003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xdr:row>
          <xdr:rowOff>107950</xdr:rowOff>
        </xdr:from>
        <xdr:to>
          <xdr:col>27</xdr:col>
          <xdr:colOff>203200</xdr:colOff>
          <xdr:row>16</xdr:row>
          <xdr:rowOff>12700</xdr:rowOff>
        </xdr:to>
        <xdr:sp macro="" textlink="">
          <xdr:nvSpPr>
            <xdr:cNvPr id="18748" name="Check Box 316" hidden="1">
              <a:extLst>
                <a:ext uri="{63B3BB69-23CF-44E3-9099-C40C66FF867C}">
                  <a14:compatExt spid="_x0000_s18748"/>
                </a:ext>
                <a:ext uri="{FF2B5EF4-FFF2-40B4-BE49-F238E27FC236}">
                  <a16:creationId xmlns:a16="http://schemas.microsoft.com/office/drawing/2014/main" id="{00000000-0008-0000-0400-00003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107950</xdr:rowOff>
        </xdr:from>
        <xdr:to>
          <xdr:col>27</xdr:col>
          <xdr:colOff>203200</xdr:colOff>
          <xdr:row>17</xdr:row>
          <xdr:rowOff>12700</xdr:rowOff>
        </xdr:to>
        <xdr:sp macro="" textlink="">
          <xdr:nvSpPr>
            <xdr:cNvPr id="18749" name="Check Box 317" hidden="1">
              <a:extLst>
                <a:ext uri="{63B3BB69-23CF-44E3-9099-C40C66FF867C}">
                  <a14:compatExt spid="_x0000_s18749"/>
                </a:ext>
                <a:ext uri="{FF2B5EF4-FFF2-40B4-BE49-F238E27FC236}">
                  <a16:creationId xmlns:a16="http://schemas.microsoft.com/office/drawing/2014/main" id="{00000000-0008-0000-0400-00003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107950</xdr:rowOff>
        </xdr:from>
        <xdr:to>
          <xdr:col>27</xdr:col>
          <xdr:colOff>203200</xdr:colOff>
          <xdr:row>18</xdr:row>
          <xdr:rowOff>12700</xdr:rowOff>
        </xdr:to>
        <xdr:sp macro="" textlink="">
          <xdr:nvSpPr>
            <xdr:cNvPr id="18750" name="Check Box 318" hidden="1">
              <a:extLst>
                <a:ext uri="{63B3BB69-23CF-44E3-9099-C40C66FF867C}">
                  <a14:compatExt spid="_x0000_s18750"/>
                </a:ext>
                <a:ext uri="{FF2B5EF4-FFF2-40B4-BE49-F238E27FC236}">
                  <a16:creationId xmlns:a16="http://schemas.microsoft.com/office/drawing/2014/main" id="{00000000-0008-0000-0400-00003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xdr:row>
          <xdr:rowOff>107950</xdr:rowOff>
        </xdr:from>
        <xdr:to>
          <xdr:col>27</xdr:col>
          <xdr:colOff>203200</xdr:colOff>
          <xdr:row>19</xdr:row>
          <xdr:rowOff>12700</xdr:rowOff>
        </xdr:to>
        <xdr:sp macro="" textlink="">
          <xdr:nvSpPr>
            <xdr:cNvPr id="18751" name="Check Box 319" hidden="1">
              <a:extLst>
                <a:ext uri="{63B3BB69-23CF-44E3-9099-C40C66FF867C}">
                  <a14:compatExt spid="_x0000_s18751"/>
                </a:ext>
                <a:ext uri="{FF2B5EF4-FFF2-40B4-BE49-F238E27FC236}">
                  <a16:creationId xmlns:a16="http://schemas.microsoft.com/office/drawing/2014/main" id="{00000000-0008-0000-0400-00003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xdr:row>
          <xdr:rowOff>107950</xdr:rowOff>
        </xdr:from>
        <xdr:to>
          <xdr:col>27</xdr:col>
          <xdr:colOff>203200</xdr:colOff>
          <xdr:row>20</xdr:row>
          <xdr:rowOff>12700</xdr:rowOff>
        </xdr:to>
        <xdr:sp macro="" textlink="">
          <xdr:nvSpPr>
            <xdr:cNvPr id="18752" name="Check Box 320" hidden="1">
              <a:extLst>
                <a:ext uri="{63B3BB69-23CF-44E3-9099-C40C66FF867C}">
                  <a14:compatExt spid="_x0000_s18752"/>
                </a:ext>
                <a:ext uri="{FF2B5EF4-FFF2-40B4-BE49-F238E27FC236}">
                  <a16:creationId xmlns:a16="http://schemas.microsoft.com/office/drawing/2014/main" id="{00000000-0008-0000-0400-00004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xdr:row>
          <xdr:rowOff>107950</xdr:rowOff>
        </xdr:from>
        <xdr:to>
          <xdr:col>27</xdr:col>
          <xdr:colOff>203200</xdr:colOff>
          <xdr:row>21</xdr:row>
          <xdr:rowOff>12700</xdr:rowOff>
        </xdr:to>
        <xdr:sp macro="" textlink="">
          <xdr:nvSpPr>
            <xdr:cNvPr id="18753" name="Check Box 321" hidden="1">
              <a:extLst>
                <a:ext uri="{63B3BB69-23CF-44E3-9099-C40C66FF867C}">
                  <a14:compatExt spid="_x0000_s18753"/>
                </a:ext>
                <a:ext uri="{FF2B5EF4-FFF2-40B4-BE49-F238E27FC236}">
                  <a16:creationId xmlns:a16="http://schemas.microsoft.com/office/drawing/2014/main" id="{00000000-0008-0000-0400-00004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xdr:row>
          <xdr:rowOff>107950</xdr:rowOff>
        </xdr:from>
        <xdr:to>
          <xdr:col>27</xdr:col>
          <xdr:colOff>203200</xdr:colOff>
          <xdr:row>22</xdr:row>
          <xdr:rowOff>12700</xdr:rowOff>
        </xdr:to>
        <xdr:sp macro="" textlink="">
          <xdr:nvSpPr>
            <xdr:cNvPr id="18754" name="Check Box 322" hidden="1">
              <a:extLst>
                <a:ext uri="{63B3BB69-23CF-44E3-9099-C40C66FF867C}">
                  <a14:compatExt spid="_x0000_s18754"/>
                </a:ext>
                <a:ext uri="{FF2B5EF4-FFF2-40B4-BE49-F238E27FC236}">
                  <a16:creationId xmlns:a16="http://schemas.microsoft.com/office/drawing/2014/main" id="{00000000-0008-0000-0400-00004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21</xdr:row>
          <xdr:rowOff>107950</xdr:rowOff>
        </xdr:from>
        <xdr:to>
          <xdr:col>27</xdr:col>
          <xdr:colOff>203200</xdr:colOff>
          <xdr:row>23</xdr:row>
          <xdr:rowOff>12700</xdr:rowOff>
        </xdr:to>
        <xdr:sp macro="" textlink="">
          <xdr:nvSpPr>
            <xdr:cNvPr id="18755" name="Check Box 323" hidden="1">
              <a:extLst>
                <a:ext uri="{63B3BB69-23CF-44E3-9099-C40C66FF867C}">
                  <a14:compatExt spid="_x0000_s18755"/>
                </a:ext>
                <a:ext uri="{FF2B5EF4-FFF2-40B4-BE49-F238E27FC236}">
                  <a16:creationId xmlns:a16="http://schemas.microsoft.com/office/drawing/2014/main" id="{00000000-0008-0000-0400-00004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xdr:row>
          <xdr:rowOff>107950</xdr:rowOff>
        </xdr:from>
        <xdr:to>
          <xdr:col>27</xdr:col>
          <xdr:colOff>203200</xdr:colOff>
          <xdr:row>24</xdr:row>
          <xdr:rowOff>12700</xdr:rowOff>
        </xdr:to>
        <xdr:sp macro="" textlink="">
          <xdr:nvSpPr>
            <xdr:cNvPr id="18756" name="Check Box 324" hidden="1">
              <a:extLst>
                <a:ext uri="{63B3BB69-23CF-44E3-9099-C40C66FF867C}">
                  <a14:compatExt spid="_x0000_s18756"/>
                </a:ext>
                <a:ext uri="{FF2B5EF4-FFF2-40B4-BE49-F238E27FC236}">
                  <a16:creationId xmlns:a16="http://schemas.microsoft.com/office/drawing/2014/main" id="{00000000-0008-0000-0400-00004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107950</xdr:rowOff>
        </xdr:from>
        <xdr:to>
          <xdr:col>27</xdr:col>
          <xdr:colOff>203200</xdr:colOff>
          <xdr:row>25</xdr:row>
          <xdr:rowOff>12700</xdr:rowOff>
        </xdr:to>
        <xdr:sp macro="" textlink="">
          <xdr:nvSpPr>
            <xdr:cNvPr id="18757" name="Check Box 325" hidden="1">
              <a:extLst>
                <a:ext uri="{63B3BB69-23CF-44E3-9099-C40C66FF867C}">
                  <a14:compatExt spid="_x0000_s18757"/>
                </a:ext>
                <a:ext uri="{FF2B5EF4-FFF2-40B4-BE49-F238E27FC236}">
                  <a16:creationId xmlns:a16="http://schemas.microsoft.com/office/drawing/2014/main" id="{00000000-0008-0000-0400-00004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xdr:row>
          <xdr:rowOff>107950</xdr:rowOff>
        </xdr:from>
        <xdr:to>
          <xdr:col>27</xdr:col>
          <xdr:colOff>203200</xdr:colOff>
          <xdr:row>26</xdr:row>
          <xdr:rowOff>12700</xdr:rowOff>
        </xdr:to>
        <xdr:sp macro="" textlink="">
          <xdr:nvSpPr>
            <xdr:cNvPr id="18758" name="Check Box 326" hidden="1">
              <a:extLst>
                <a:ext uri="{63B3BB69-23CF-44E3-9099-C40C66FF867C}">
                  <a14:compatExt spid="_x0000_s18758"/>
                </a:ext>
                <a:ext uri="{FF2B5EF4-FFF2-40B4-BE49-F238E27FC236}">
                  <a16:creationId xmlns:a16="http://schemas.microsoft.com/office/drawing/2014/main" id="{00000000-0008-0000-0400-00004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xdr:row>
          <xdr:rowOff>107950</xdr:rowOff>
        </xdr:from>
        <xdr:to>
          <xdr:col>27</xdr:col>
          <xdr:colOff>203200</xdr:colOff>
          <xdr:row>27</xdr:row>
          <xdr:rowOff>12700</xdr:rowOff>
        </xdr:to>
        <xdr:sp macro="" textlink="">
          <xdr:nvSpPr>
            <xdr:cNvPr id="18759" name="Check Box 327" hidden="1">
              <a:extLst>
                <a:ext uri="{63B3BB69-23CF-44E3-9099-C40C66FF867C}">
                  <a14:compatExt spid="_x0000_s18759"/>
                </a:ext>
                <a:ext uri="{FF2B5EF4-FFF2-40B4-BE49-F238E27FC236}">
                  <a16:creationId xmlns:a16="http://schemas.microsoft.com/office/drawing/2014/main" id="{00000000-0008-0000-0400-00004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107950</xdr:rowOff>
        </xdr:from>
        <xdr:to>
          <xdr:col>27</xdr:col>
          <xdr:colOff>203200</xdr:colOff>
          <xdr:row>28</xdr:row>
          <xdr:rowOff>12700</xdr:rowOff>
        </xdr:to>
        <xdr:sp macro="" textlink="">
          <xdr:nvSpPr>
            <xdr:cNvPr id="18760" name="Check Box 328" hidden="1">
              <a:extLst>
                <a:ext uri="{63B3BB69-23CF-44E3-9099-C40C66FF867C}">
                  <a14:compatExt spid="_x0000_s18760"/>
                </a:ext>
                <a:ext uri="{FF2B5EF4-FFF2-40B4-BE49-F238E27FC236}">
                  <a16:creationId xmlns:a16="http://schemas.microsoft.com/office/drawing/2014/main" id="{00000000-0008-0000-0400-00004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107950</xdr:rowOff>
        </xdr:from>
        <xdr:to>
          <xdr:col>27</xdr:col>
          <xdr:colOff>203200</xdr:colOff>
          <xdr:row>29</xdr:row>
          <xdr:rowOff>12700</xdr:rowOff>
        </xdr:to>
        <xdr:sp macro="" textlink="">
          <xdr:nvSpPr>
            <xdr:cNvPr id="18761" name="Check Box 329" hidden="1">
              <a:extLst>
                <a:ext uri="{63B3BB69-23CF-44E3-9099-C40C66FF867C}">
                  <a14:compatExt spid="_x0000_s18761"/>
                </a:ext>
                <a:ext uri="{FF2B5EF4-FFF2-40B4-BE49-F238E27FC236}">
                  <a16:creationId xmlns:a16="http://schemas.microsoft.com/office/drawing/2014/main" id="{00000000-0008-0000-0400-00004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28</xdr:row>
          <xdr:rowOff>107950</xdr:rowOff>
        </xdr:from>
        <xdr:to>
          <xdr:col>27</xdr:col>
          <xdr:colOff>203200</xdr:colOff>
          <xdr:row>30</xdr:row>
          <xdr:rowOff>12700</xdr:rowOff>
        </xdr:to>
        <xdr:sp macro="" textlink="">
          <xdr:nvSpPr>
            <xdr:cNvPr id="18762" name="Check Box 330" hidden="1">
              <a:extLst>
                <a:ext uri="{63B3BB69-23CF-44E3-9099-C40C66FF867C}">
                  <a14:compatExt spid="_x0000_s18762"/>
                </a:ext>
                <a:ext uri="{FF2B5EF4-FFF2-40B4-BE49-F238E27FC236}">
                  <a16:creationId xmlns:a16="http://schemas.microsoft.com/office/drawing/2014/main" id="{00000000-0008-0000-0400-00004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29</xdr:row>
          <xdr:rowOff>107950</xdr:rowOff>
        </xdr:from>
        <xdr:to>
          <xdr:col>27</xdr:col>
          <xdr:colOff>203200</xdr:colOff>
          <xdr:row>31</xdr:row>
          <xdr:rowOff>12700</xdr:rowOff>
        </xdr:to>
        <xdr:sp macro="" textlink="">
          <xdr:nvSpPr>
            <xdr:cNvPr id="18763" name="Check Box 331" hidden="1">
              <a:extLst>
                <a:ext uri="{63B3BB69-23CF-44E3-9099-C40C66FF867C}">
                  <a14:compatExt spid="_x0000_s18763"/>
                </a:ext>
                <a:ext uri="{FF2B5EF4-FFF2-40B4-BE49-F238E27FC236}">
                  <a16:creationId xmlns:a16="http://schemas.microsoft.com/office/drawing/2014/main" id="{00000000-0008-0000-0400-00004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30</xdr:row>
          <xdr:rowOff>107950</xdr:rowOff>
        </xdr:from>
        <xdr:to>
          <xdr:col>27</xdr:col>
          <xdr:colOff>203200</xdr:colOff>
          <xdr:row>32</xdr:row>
          <xdr:rowOff>12700</xdr:rowOff>
        </xdr:to>
        <xdr:sp macro="" textlink="">
          <xdr:nvSpPr>
            <xdr:cNvPr id="18764" name="Check Box 332" hidden="1">
              <a:extLst>
                <a:ext uri="{63B3BB69-23CF-44E3-9099-C40C66FF867C}">
                  <a14:compatExt spid="_x0000_s18764"/>
                </a:ext>
                <a:ext uri="{FF2B5EF4-FFF2-40B4-BE49-F238E27FC236}">
                  <a16:creationId xmlns:a16="http://schemas.microsoft.com/office/drawing/2014/main" id="{00000000-0008-0000-0400-00004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31</xdr:row>
          <xdr:rowOff>107950</xdr:rowOff>
        </xdr:from>
        <xdr:to>
          <xdr:col>27</xdr:col>
          <xdr:colOff>203200</xdr:colOff>
          <xdr:row>33</xdr:row>
          <xdr:rowOff>12700</xdr:rowOff>
        </xdr:to>
        <xdr:sp macro="" textlink="">
          <xdr:nvSpPr>
            <xdr:cNvPr id="18765" name="Check Box 333" hidden="1">
              <a:extLst>
                <a:ext uri="{63B3BB69-23CF-44E3-9099-C40C66FF867C}">
                  <a14:compatExt spid="_x0000_s18765"/>
                </a:ext>
                <a:ext uri="{FF2B5EF4-FFF2-40B4-BE49-F238E27FC236}">
                  <a16:creationId xmlns:a16="http://schemas.microsoft.com/office/drawing/2014/main" id="{00000000-0008-0000-0400-00004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32</xdr:row>
          <xdr:rowOff>107950</xdr:rowOff>
        </xdr:from>
        <xdr:to>
          <xdr:col>27</xdr:col>
          <xdr:colOff>203200</xdr:colOff>
          <xdr:row>34</xdr:row>
          <xdr:rowOff>12700</xdr:rowOff>
        </xdr:to>
        <xdr:sp macro="" textlink="">
          <xdr:nvSpPr>
            <xdr:cNvPr id="18766" name="Check Box 334" hidden="1">
              <a:extLst>
                <a:ext uri="{63B3BB69-23CF-44E3-9099-C40C66FF867C}">
                  <a14:compatExt spid="_x0000_s18766"/>
                </a:ext>
                <a:ext uri="{FF2B5EF4-FFF2-40B4-BE49-F238E27FC236}">
                  <a16:creationId xmlns:a16="http://schemas.microsoft.com/office/drawing/2014/main" id="{00000000-0008-0000-0400-00004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33</xdr:row>
          <xdr:rowOff>107950</xdr:rowOff>
        </xdr:from>
        <xdr:to>
          <xdr:col>27</xdr:col>
          <xdr:colOff>203200</xdr:colOff>
          <xdr:row>35</xdr:row>
          <xdr:rowOff>12700</xdr:rowOff>
        </xdr:to>
        <xdr:sp macro="" textlink="">
          <xdr:nvSpPr>
            <xdr:cNvPr id="18767" name="Check Box 335" hidden="1">
              <a:extLst>
                <a:ext uri="{63B3BB69-23CF-44E3-9099-C40C66FF867C}">
                  <a14:compatExt spid="_x0000_s18767"/>
                </a:ext>
                <a:ext uri="{FF2B5EF4-FFF2-40B4-BE49-F238E27FC236}">
                  <a16:creationId xmlns:a16="http://schemas.microsoft.com/office/drawing/2014/main" id="{00000000-0008-0000-0400-00004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107950</xdr:rowOff>
        </xdr:from>
        <xdr:to>
          <xdr:col>27</xdr:col>
          <xdr:colOff>203200</xdr:colOff>
          <xdr:row>36</xdr:row>
          <xdr:rowOff>12700</xdr:rowOff>
        </xdr:to>
        <xdr:sp macro="" textlink="">
          <xdr:nvSpPr>
            <xdr:cNvPr id="18768" name="Check Box 336" hidden="1">
              <a:extLst>
                <a:ext uri="{63B3BB69-23CF-44E3-9099-C40C66FF867C}">
                  <a14:compatExt spid="_x0000_s18768"/>
                </a:ext>
                <a:ext uri="{FF2B5EF4-FFF2-40B4-BE49-F238E27FC236}">
                  <a16:creationId xmlns:a16="http://schemas.microsoft.com/office/drawing/2014/main" id="{00000000-0008-0000-0400-00005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35</xdr:row>
          <xdr:rowOff>107950</xdr:rowOff>
        </xdr:from>
        <xdr:to>
          <xdr:col>27</xdr:col>
          <xdr:colOff>203200</xdr:colOff>
          <xdr:row>37</xdr:row>
          <xdr:rowOff>12700</xdr:rowOff>
        </xdr:to>
        <xdr:sp macro="" textlink="">
          <xdr:nvSpPr>
            <xdr:cNvPr id="18769" name="Check Box 337" hidden="1">
              <a:extLst>
                <a:ext uri="{63B3BB69-23CF-44E3-9099-C40C66FF867C}">
                  <a14:compatExt spid="_x0000_s18769"/>
                </a:ext>
                <a:ext uri="{FF2B5EF4-FFF2-40B4-BE49-F238E27FC236}">
                  <a16:creationId xmlns:a16="http://schemas.microsoft.com/office/drawing/2014/main" id="{00000000-0008-0000-0400-00005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107950</xdr:rowOff>
        </xdr:from>
        <xdr:to>
          <xdr:col>27</xdr:col>
          <xdr:colOff>203200</xdr:colOff>
          <xdr:row>38</xdr:row>
          <xdr:rowOff>12700</xdr:rowOff>
        </xdr:to>
        <xdr:sp macro="" textlink="">
          <xdr:nvSpPr>
            <xdr:cNvPr id="18770" name="Check Box 338" hidden="1">
              <a:extLst>
                <a:ext uri="{63B3BB69-23CF-44E3-9099-C40C66FF867C}">
                  <a14:compatExt spid="_x0000_s18770"/>
                </a:ext>
                <a:ext uri="{FF2B5EF4-FFF2-40B4-BE49-F238E27FC236}">
                  <a16:creationId xmlns:a16="http://schemas.microsoft.com/office/drawing/2014/main" id="{00000000-0008-0000-0400-00005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37</xdr:row>
          <xdr:rowOff>107950</xdr:rowOff>
        </xdr:from>
        <xdr:to>
          <xdr:col>27</xdr:col>
          <xdr:colOff>203200</xdr:colOff>
          <xdr:row>39</xdr:row>
          <xdr:rowOff>12700</xdr:rowOff>
        </xdr:to>
        <xdr:sp macro="" textlink="">
          <xdr:nvSpPr>
            <xdr:cNvPr id="18771" name="Check Box 339" hidden="1">
              <a:extLst>
                <a:ext uri="{63B3BB69-23CF-44E3-9099-C40C66FF867C}">
                  <a14:compatExt spid="_x0000_s18771"/>
                </a:ext>
                <a:ext uri="{FF2B5EF4-FFF2-40B4-BE49-F238E27FC236}">
                  <a16:creationId xmlns:a16="http://schemas.microsoft.com/office/drawing/2014/main" id="{00000000-0008-0000-0400-00005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107950</xdr:rowOff>
        </xdr:from>
        <xdr:to>
          <xdr:col>27</xdr:col>
          <xdr:colOff>203200</xdr:colOff>
          <xdr:row>40</xdr:row>
          <xdr:rowOff>12700</xdr:rowOff>
        </xdr:to>
        <xdr:sp macro="" textlink="">
          <xdr:nvSpPr>
            <xdr:cNvPr id="18772" name="Check Box 340" hidden="1">
              <a:extLst>
                <a:ext uri="{63B3BB69-23CF-44E3-9099-C40C66FF867C}">
                  <a14:compatExt spid="_x0000_s18772"/>
                </a:ext>
                <a:ext uri="{FF2B5EF4-FFF2-40B4-BE49-F238E27FC236}">
                  <a16:creationId xmlns:a16="http://schemas.microsoft.com/office/drawing/2014/main" id="{00000000-0008-0000-0400-00005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107950</xdr:rowOff>
        </xdr:from>
        <xdr:to>
          <xdr:col>27</xdr:col>
          <xdr:colOff>203200</xdr:colOff>
          <xdr:row>41</xdr:row>
          <xdr:rowOff>12700</xdr:rowOff>
        </xdr:to>
        <xdr:sp macro="" textlink="">
          <xdr:nvSpPr>
            <xdr:cNvPr id="18773" name="Check Box 341" hidden="1">
              <a:extLst>
                <a:ext uri="{63B3BB69-23CF-44E3-9099-C40C66FF867C}">
                  <a14:compatExt spid="_x0000_s18773"/>
                </a:ext>
                <a:ext uri="{FF2B5EF4-FFF2-40B4-BE49-F238E27FC236}">
                  <a16:creationId xmlns:a16="http://schemas.microsoft.com/office/drawing/2014/main" id="{00000000-0008-0000-04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107950</xdr:rowOff>
        </xdr:from>
        <xdr:to>
          <xdr:col>27</xdr:col>
          <xdr:colOff>203200</xdr:colOff>
          <xdr:row>42</xdr:row>
          <xdr:rowOff>12700</xdr:rowOff>
        </xdr:to>
        <xdr:sp macro="" textlink="">
          <xdr:nvSpPr>
            <xdr:cNvPr id="18774" name="Check Box 342" hidden="1">
              <a:extLst>
                <a:ext uri="{63B3BB69-23CF-44E3-9099-C40C66FF867C}">
                  <a14:compatExt spid="_x0000_s18774"/>
                </a:ext>
                <a:ext uri="{FF2B5EF4-FFF2-40B4-BE49-F238E27FC236}">
                  <a16:creationId xmlns:a16="http://schemas.microsoft.com/office/drawing/2014/main" id="{00000000-0008-0000-0400-00005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107950</xdr:rowOff>
        </xdr:from>
        <xdr:to>
          <xdr:col>27</xdr:col>
          <xdr:colOff>203200</xdr:colOff>
          <xdr:row>43</xdr:row>
          <xdr:rowOff>12700</xdr:rowOff>
        </xdr:to>
        <xdr:sp macro="" textlink="">
          <xdr:nvSpPr>
            <xdr:cNvPr id="18775" name="Check Box 343" hidden="1">
              <a:extLst>
                <a:ext uri="{63B3BB69-23CF-44E3-9099-C40C66FF867C}">
                  <a14:compatExt spid="_x0000_s18775"/>
                </a:ext>
                <a:ext uri="{FF2B5EF4-FFF2-40B4-BE49-F238E27FC236}">
                  <a16:creationId xmlns:a16="http://schemas.microsoft.com/office/drawing/2014/main" id="{00000000-0008-0000-04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107950</xdr:rowOff>
        </xdr:from>
        <xdr:to>
          <xdr:col>27</xdr:col>
          <xdr:colOff>203200</xdr:colOff>
          <xdr:row>44</xdr:row>
          <xdr:rowOff>12700</xdr:rowOff>
        </xdr:to>
        <xdr:sp macro="" textlink="">
          <xdr:nvSpPr>
            <xdr:cNvPr id="18776" name="Check Box 344" hidden="1">
              <a:extLst>
                <a:ext uri="{63B3BB69-23CF-44E3-9099-C40C66FF867C}">
                  <a14:compatExt spid="_x0000_s18776"/>
                </a:ext>
                <a:ext uri="{FF2B5EF4-FFF2-40B4-BE49-F238E27FC236}">
                  <a16:creationId xmlns:a16="http://schemas.microsoft.com/office/drawing/2014/main" id="{00000000-0008-0000-04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107950</xdr:rowOff>
        </xdr:from>
        <xdr:to>
          <xdr:col>27</xdr:col>
          <xdr:colOff>203200</xdr:colOff>
          <xdr:row>45</xdr:row>
          <xdr:rowOff>12700</xdr:rowOff>
        </xdr:to>
        <xdr:sp macro="" textlink="">
          <xdr:nvSpPr>
            <xdr:cNvPr id="18777" name="Check Box 345" hidden="1">
              <a:extLst>
                <a:ext uri="{63B3BB69-23CF-44E3-9099-C40C66FF867C}">
                  <a14:compatExt spid="_x0000_s18777"/>
                </a:ext>
                <a:ext uri="{FF2B5EF4-FFF2-40B4-BE49-F238E27FC236}">
                  <a16:creationId xmlns:a16="http://schemas.microsoft.com/office/drawing/2014/main" id="{00000000-0008-0000-0400-00005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107950</xdr:rowOff>
        </xdr:from>
        <xdr:to>
          <xdr:col>27</xdr:col>
          <xdr:colOff>203200</xdr:colOff>
          <xdr:row>46</xdr:row>
          <xdr:rowOff>12700</xdr:rowOff>
        </xdr:to>
        <xdr:sp macro="" textlink="">
          <xdr:nvSpPr>
            <xdr:cNvPr id="18779" name="Check Box 347" hidden="1">
              <a:extLst>
                <a:ext uri="{63B3BB69-23CF-44E3-9099-C40C66FF867C}">
                  <a14:compatExt spid="_x0000_s18779"/>
                </a:ext>
                <a:ext uri="{FF2B5EF4-FFF2-40B4-BE49-F238E27FC236}">
                  <a16:creationId xmlns:a16="http://schemas.microsoft.com/office/drawing/2014/main" id="{00000000-0008-0000-0400-00005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xdr:row>
          <xdr:rowOff>107950</xdr:rowOff>
        </xdr:from>
        <xdr:to>
          <xdr:col>32</xdr:col>
          <xdr:colOff>203200</xdr:colOff>
          <xdr:row>7</xdr:row>
          <xdr:rowOff>12700</xdr:rowOff>
        </xdr:to>
        <xdr:sp macro="" textlink="">
          <xdr:nvSpPr>
            <xdr:cNvPr id="18808" name="Check Box 376" hidden="1">
              <a:extLst>
                <a:ext uri="{63B3BB69-23CF-44E3-9099-C40C66FF867C}">
                  <a14:compatExt spid="_x0000_s18808"/>
                </a:ext>
                <a:ext uri="{FF2B5EF4-FFF2-40B4-BE49-F238E27FC236}">
                  <a16:creationId xmlns:a16="http://schemas.microsoft.com/office/drawing/2014/main" id="{00000000-0008-0000-0400-00007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xdr:row>
          <xdr:rowOff>107950</xdr:rowOff>
        </xdr:from>
        <xdr:to>
          <xdr:col>32</xdr:col>
          <xdr:colOff>203200</xdr:colOff>
          <xdr:row>8</xdr:row>
          <xdr:rowOff>12700</xdr:rowOff>
        </xdr:to>
        <xdr:sp macro="" textlink="">
          <xdr:nvSpPr>
            <xdr:cNvPr id="18809" name="Check Box 377" hidden="1">
              <a:extLst>
                <a:ext uri="{63B3BB69-23CF-44E3-9099-C40C66FF867C}">
                  <a14:compatExt spid="_x0000_s18809"/>
                </a:ext>
                <a:ext uri="{FF2B5EF4-FFF2-40B4-BE49-F238E27FC236}">
                  <a16:creationId xmlns:a16="http://schemas.microsoft.com/office/drawing/2014/main" id="{00000000-0008-0000-0400-00007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xdr:row>
          <xdr:rowOff>107950</xdr:rowOff>
        </xdr:from>
        <xdr:to>
          <xdr:col>32</xdr:col>
          <xdr:colOff>203200</xdr:colOff>
          <xdr:row>9</xdr:row>
          <xdr:rowOff>12700</xdr:rowOff>
        </xdr:to>
        <xdr:sp macro="" textlink="">
          <xdr:nvSpPr>
            <xdr:cNvPr id="18810" name="Check Box 378" hidden="1">
              <a:extLst>
                <a:ext uri="{63B3BB69-23CF-44E3-9099-C40C66FF867C}">
                  <a14:compatExt spid="_x0000_s18810"/>
                </a:ext>
                <a:ext uri="{FF2B5EF4-FFF2-40B4-BE49-F238E27FC236}">
                  <a16:creationId xmlns:a16="http://schemas.microsoft.com/office/drawing/2014/main" id="{00000000-0008-0000-0400-00007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107950</xdr:rowOff>
        </xdr:from>
        <xdr:to>
          <xdr:col>32</xdr:col>
          <xdr:colOff>203200</xdr:colOff>
          <xdr:row>10</xdr:row>
          <xdr:rowOff>12700</xdr:rowOff>
        </xdr:to>
        <xdr:sp macro="" textlink="">
          <xdr:nvSpPr>
            <xdr:cNvPr id="18811" name="Check Box 379" hidden="1">
              <a:extLst>
                <a:ext uri="{63B3BB69-23CF-44E3-9099-C40C66FF867C}">
                  <a14:compatExt spid="_x0000_s18811"/>
                </a:ext>
                <a:ext uri="{FF2B5EF4-FFF2-40B4-BE49-F238E27FC236}">
                  <a16:creationId xmlns:a16="http://schemas.microsoft.com/office/drawing/2014/main" id="{00000000-0008-0000-0400-00007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107950</xdr:rowOff>
        </xdr:from>
        <xdr:to>
          <xdr:col>32</xdr:col>
          <xdr:colOff>203200</xdr:colOff>
          <xdr:row>11</xdr:row>
          <xdr:rowOff>12700</xdr:rowOff>
        </xdr:to>
        <xdr:sp macro="" textlink="">
          <xdr:nvSpPr>
            <xdr:cNvPr id="18812" name="Check Box 380" hidden="1">
              <a:extLst>
                <a:ext uri="{63B3BB69-23CF-44E3-9099-C40C66FF867C}">
                  <a14:compatExt spid="_x0000_s18812"/>
                </a:ext>
                <a:ext uri="{FF2B5EF4-FFF2-40B4-BE49-F238E27FC236}">
                  <a16:creationId xmlns:a16="http://schemas.microsoft.com/office/drawing/2014/main" id="{00000000-0008-0000-0400-00007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107950</xdr:rowOff>
        </xdr:from>
        <xdr:to>
          <xdr:col>32</xdr:col>
          <xdr:colOff>203200</xdr:colOff>
          <xdr:row>12</xdr:row>
          <xdr:rowOff>12700</xdr:rowOff>
        </xdr:to>
        <xdr:sp macro="" textlink="">
          <xdr:nvSpPr>
            <xdr:cNvPr id="18813" name="Check Box 381" hidden="1">
              <a:extLst>
                <a:ext uri="{63B3BB69-23CF-44E3-9099-C40C66FF867C}">
                  <a14:compatExt spid="_x0000_s18813"/>
                </a:ext>
                <a:ext uri="{FF2B5EF4-FFF2-40B4-BE49-F238E27FC236}">
                  <a16:creationId xmlns:a16="http://schemas.microsoft.com/office/drawing/2014/main" id="{00000000-0008-0000-0400-00007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xdr:row>
          <xdr:rowOff>107950</xdr:rowOff>
        </xdr:from>
        <xdr:to>
          <xdr:col>32</xdr:col>
          <xdr:colOff>203200</xdr:colOff>
          <xdr:row>13</xdr:row>
          <xdr:rowOff>12700</xdr:rowOff>
        </xdr:to>
        <xdr:sp macro="" textlink="">
          <xdr:nvSpPr>
            <xdr:cNvPr id="18814" name="Check Box 382" hidden="1">
              <a:extLst>
                <a:ext uri="{63B3BB69-23CF-44E3-9099-C40C66FF867C}">
                  <a14:compatExt spid="_x0000_s18814"/>
                </a:ext>
                <a:ext uri="{FF2B5EF4-FFF2-40B4-BE49-F238E27FC236}">
                  <a16:creationId xmlns:a16="http://schemas.microsoft.com/office/drawing/2014/main" id="{00000000-0008-0000-0400-00007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107950</xdr:rowOff>
        </xdr:from>
        <xdr:to>
          <xdr:col>32</xdr:col>
          <xdr:colOff>203200</xdr:colOff>
          <xdr:row>14</xdr:row>
          <xdr:rowOff>12700</xdr:rowOff>
        </xdr:to>
        <xdr:sp macro="" textlink="">
          <xdr:nvSpPr>
            <xdr:cNvPr id="18815" name="Check Box 383" hidden="1">
              <a:extLst>
                <a:ext uri="{63B3BB69-23CF-44E3-9099-C40C66FF867C}">
                  <a14:compatExt spid="_x0000_s18815"/>
                </a:ext>
                <a:ext uri="{FF2B5EF4-FFF2-40B4-BE49-F238E27FC236}">
                  <a16:creationId xmlns:a16="http://schemas.microsoft.com/office/drawing/2014/main" id="{00000000-0008-0000-0400-00007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107950</xdr:rowOff>
        </xdr:from>
        <xdr:to>
          <xdr:col>32</xdr:col>
          <xdr:colOff>203200</xdr:colOff>
          <xdr:row>15</xdr:row>
          <xdr:rowOff>12700</xdr:rowOff>
        </xdr:to>
        <xdr:sp macro="" textlink="">
          <xdr:nvSpPr>
            <xdr:cNvPr id="18816" name="Check Box 384" hidden="1">
              <a:extLst>
                <a:ext uri="{63B3BB69-23CF-44E3-9099-C40C66FF867C}">
                  <a14:compatExt spid="_x0000_s18816"/>
                </a:ext>
                <a:ext uri="{FF2B5EF4-FFF2-40B4-BE49-F238E27FC236}">
                  <a16:creationId xmlns:a16="http://schemas.microsoft.com/office/drawing/2014/main" id="{00000000-0008-0000-0400-00008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107950</xdr:rowOff>
        </xdr:from>
        <xdr:to>
          <xdr:col>32</xdr:col>
          <xdr:colOff>203200</xdr:colOff>
          <xdr:row>16</xdr:row>
          <xdr:rowOff>12700</xdr:rowOff>
        </xdr:to>
        <xdr:sp macro="" textlink="">
          <xdr:nvSpPr>
            <xdr:cNvPr id="18817" name="Check Box 385" hidden="1">
              <a:extLst>
                <a:ext uri="{63B3BB69-23CF-44E3-9099-C40C66FF867C}">
                  <a14:compatExt spid="_x0000_s18817"/>
                </a:ext>
                <a:ext uri="{FF2B5EF4-FFF2-40B4-BE49-F238E27FC236}">
                  <a16:creationId xmlns:a16="http://schemas.microsoft.com/office/drawing/2014/main" id="{00000000-0008-0000-0400-00008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15</xdr:row>
          <xdr:rowOff>107950</xdr:rowOff>
        </xdr:from>
        <xdr:to>
          <xdr:col>32</xdr:col>
          <xdr:colOff>203200</xdr:colOff>
          <xdr:row>17</xdr:row>
          <xdr:rowOff>12700</xdr:rowOff>
        </xdr:to>
        <xdr:sp macro="" textlink="">
          <xdr:nvSpPr>
            <xdr:cNvPr id="18818" name="Check Box 386" hidden="1">
              <a:extLst>
                <a:ext uri="{63B3BB69-23CF-44E3-9099-C40C66FF867C}">
                  <a14:compatExt spid="_x0000_s18818"/>
                </a:ext>
                <a:ext uri="{FF2B5EF4-FFF2-40B4-BE49-F238E27FC236}">
                  <a16:creationId xmlns:a16="http://schemas.microsoft.com/office/drawing/2014/main" id="{00000000-0008-0000-0400-00008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107950</xdr:rowOff>
        </xdr:from>
        <xdr:to>
          <xdr:col>32</xdr:col>
          <xdr:colOff>203200</xdr:colOff>
          <xdr:row>18</xdr:row>
          <xdr:rowOff>12700</xdr:rowOff>
        </xdr:to>
        <xdr:sp macro="" textlink="">
          <xdr:nvSpPr>
            <xdr:cNvPr id="18819" name="Check Box 387" hidden="1">
              <a:extLst>
                <a:ext uri="{63B3BB69-23CF-44E3-9099-C40C66FF867C}">
                  <a14:compatExt spid="_x0000_s18819"/>
                </a:ext>
                <a:ext uri="{FF2B5EF4-FFF2-40B4-BE49-F238E27FC236}">
                  <a16:creationId xmlns:a16="http://schemas.microsoft.com/office/drawing/2014/main" id="{00000000-0008-0000-0400-00008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xdr:row>
          <xdr:rowOff>107950</xdr:rowOff>
        </xdr:from>
        <xdr:to>
          <xdr:col>32</xdr:col>
          <xdr:colOff>203200</xdr:colOff>
          <xdr:row>19</xdr:row>
          <xdr:rowOff>12700</xdr:rowOff>
        </xdr:to>
        <xdr:sp macro="" textlink="">
          <xdr:nvSpPr>
            <xdr:cNvPr id="18820" name="Check Box 388" hidden="1">
              <a:extLst>
                <a:ext uri="{63B3BB69-23CF-44E3-9099-C40C66FF867C}">
                  <a14:compatExt spid="_x0000_s18820"/>
                </a:ext>
                <a:ext uri="{FF2B5EF4-FFF2-40B4-BE49-F238E27FC236}">
                  <a16:creationId xmlns:a16="http://schemas.microsoft.com/office/drawing/2014/main" id="{00000000-0008-0000-0400-00008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107950</xdr:rowOff>
        </xdr:from>
        <xdr:to>
          <xdr:col>32</xdr:col>
          <xdr:colOff>203200</xdr:colOff>
          <xdr:row>20</xdr:row>
          <xdr:rowOff>12700</xdr:rowOff>
        </xdr:to>
        <xdr:sp macro="" textlink="">
          <xdr:nvSpPr>
            <xdr:cNvPr id="18821" name="Check Box 389" hidden="1">
              <a:extLst>
                <a:ext uri="{63B3BB69-23CF-44E3-9099-C40C66FF867C}">
                  <a14:compatExt spid="_x0000_s18821"/>
                </a:ext>
                <a:ext uri="{FF2B5EF4-FFF2-40B4-BE49-F238E27FC236}">
                  <a16:creationId xmlns:a16="http://schemas.microsoft.com/office/drawing/2014/main" id="{00000000-0008-0000-0400-00008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19</xdr:row>
          <xdr:rowOff>107950</xdr:rowOff>
        </xdr:from>
        <xdr:to>
          <xdr:col>32</xdr:col>
          <xdr:colOff>203200</xdr:colOff>
          <xdr:row>21</xdr:row>
          <xdr:rowOff>12700</xdr:rowOff>
        </xdr:to>
        <xdr:sp macro="" textlink="">
          <xdr:nvSpPr>
            <xdr:cNvPr id="18822" name="Check Box 390" hidden="1">
              <a:extLst>
                <a:ext uri="{63B3BB69-23CF-44E3-9099-C40C66FF867C}">
                  <a14:compatExt spid="_x0000_s18822"/>
                </a:ext>
                <a:ext uri="{FF2B5EF4-FFF2-40B4-BE49-F238E27FC236}">
                  <a16:creationId xmlns:a16="http://schemas.microsoft.com/office/drawing/2014/main" id="{00000000-0008-0000-0400-00008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107950</xdr:rowOff>
        </xdr:from>
        <xdr:to>
          <xdr:col>32</xdr:col>
          <xdr:colOff>203200</xdr:colOff>
          <xdr:row>22</xdr:row>
          <xdr:rowOff>12700</xdr:rowOff>
        </xdr:to>
        <xdr:sp macro="" textlink="">
          <xdr:nvSpPr>
            <xdr:cNvPr id="18823" name="Check Box 391" hidden="1">
              <a:extLst>
                <a:ext uri="{63B3BB69-23CF-44E3-9099-C40C66FF867C}">
                  <a14:compatExt spid="_x0000_s18823"/>
                </a:ext>
                <a:ext uri="{FF2B5EF4-FFF2-40B4-BE49-F238E27FC236}">
                  <a16:creationId xmlns:a16="http://schemas.microsoft.com/office/drawing/2014/main" id="{00000000-0008-0000-04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xdr:row>
          <xdr:rowOff>107950</xdr:rowOff>
        </xdr:from>
        <xdr:to>
          <xdr:col>32</xdr:col>
          <xdr:colOff>203200</xdr:colOff>
          <xdr:row>23</xdr:row>
          <xdr:rowOff>12700</xdr:rowOff>
        </xdr:to>
        <xdr:sp macro="" textlink="">
          <xdr:nvSpPr>
            <xdr:cNvPr id="18824" name="Check Box 392" hidden="1">
              <a:extLst>
                <a:ext uri="{63B3BB69-23CF-44E3-9099-C40C66FF867C}">
                  <a14:compatExt spid="_x0000_s18824"/>
                </a:ext>
                <a:ext uri="{FF2B5EF4-FFF2-40B4-BE49-F238E27FC236}">
                  <a16:creationId xmlns:a16="http://schemas.microsoft.com/office/drawing/2014/main" id="{00000000-0008-0000-0400-00008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107950</xdr:rowOff>
        </xdr:from>
        <xdr:to>
          <xdr:col>32</xdr:col>
          <xdr:colOff>203200</xdr:colOff>
          <xdr:row>24</xdr:row>
          <xdr:rowOff>12700</xdr:rowOff>
        </xdr:to>
        <xdr:sp macro="" textlink="">
          <xdr:nvSpPr>
            <xdr:cNvPr id="18825" name="Check Box 393" hidden="1">
              <a:extLst>
                <a:ext uri="{63B3BB69-23CF-44E3-9099-C40C66FF867C}">
                  <a14:compatExt spid="_x0000_s18825"/>
                </a:ext>
                <a:ext uri="{FF2B5EF4-FFF2-40B4-BE49-F238E27FC236}">
                  <a16:creationId xmlns:a16="http://schemas.microsoft.com/office/drawing/2014/main" id="{00000000-0008-0000-04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23</xdr:row>
          <xdr:rowOff>107950</xdr:rowOff>
        </xdr:from>
        <xdr:to>
          <xdr:col>32</xdr:col>
          <xdr:colOff>203200</xdr:colOff>
          <xdr:row>25</xdr:row>
          <xdr:rowOff>12700</xdr:rowOff>
        </xdr:to>
        <xdr:sp macro="" textlink="">
          <xdr:nvSpPr>
            <xdr:cNvPr id="18826" name="Check Box 394" hidden="1">
              <a:extLst>
                <a:ext uri="{63B3BB69-23CF-44E3-9099-C40C66FF867C}">
                  <a14:compatExt spid="_x0000_s18826"/>
                </a:ext>
                <a:ext uri="{FF2B5EF4-FFF2-40B4-BE49-F238E27FC236}">
                  <a16:creationId xmlns:a16="http://schemas.microsoft.com/office/drawing/2014/main" id="{00000000-0008-0000-04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107950</xdr:rowOff>
        </xdr:from>
        <xdr:to>
          <xdr:col>32</xdr:col>
          <xdr:colOff>203200</xdr:colOff>
          <xdr:row>26</xdr:row>
          <xdr:rowOff>12700</xdr:rowOff>
        </xdr:to>
        <xdr:sp macro="" textlink="">
          <xdr:nvSpPr>
            <xdr:cNvPr id="18827" name="Check Box 395" hidden="1">
              <a:extLst>
                <a:ext uri="{63B3BB69-23CF-44E3-9099-C40C66FF867C}">
                  <a14:compatExt spid="_x0000_s18827"/>
                </a:ext>
                <a:ext uri="{FF2B5EF4-FFF2-40B4-BE49-F238E27FC236}">
                  <a16:creationId xmlns:a16="http://schemas.microsoft.com/office/drawing/2014/main" id="{00000000-0008-0000-0400-00008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107950</xdr:rowOff>
        </xdr:from>
        <xdr:to>
          <xdr:col>32</xdr:col>
          <xdr:colOff>203200</xdr:colOff>
          <xdr:row>27</xdr:row>
          <xdr:rowOff>12700</xdr:rowOff>
        </xdr:to>
        <xdr:sp macro="" textlink="">
          <xdr:nvSpPr>
            <xdr:cNvPr id="18828" name="Check Box 396" hidden="1">
              <a:extLst>
                <a:ext uri="{63B3BB69-23CF-44E3-9099-C40C66FF867C}">
                  <a14:compatExt spid="_x0000_s18828"/>
                </a:ext>
                <a:ext uri="{FF2B5EF4-FFF2-40B4-BE49-F238E27FC236}">
                  <a16:creationId xmlns:a16="http://schemas.microsoft.com/office/drawing/2014/main" id="{00000000-0008-0000-0400-00008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xdr:row>
          <xdr:rowOff>107950</xdr:rowOff>
        </xdr:from>
        <xdr:to>
          <xdr:col>32</xdr:col>
          <xdr:colOff>203200</xdr:colOff>
          <xdr:row>28</xdr:row>
          <xdr:rowOff>12700</xdr:rowOff>
        </xdr:to>
        <xdr:sp macro="" textlink="">
          <xdr:nvSpPr>
            <xdr:cNvPr id="18829" name="Check Box 397" hidden="1">
              <a:extLst>
                <a:ext uri="{63B3BB69-23CF-44E3-9099-C40C66FF867C}">
                  <a14:compatExt spid="_x0000_s18829"/>
                </a:ext>
                <a:ext uri="{FF2B5EF4-FFF2-40B4-BE49-F238E27FC236}">
                  <a16:creationId xmlns:a16="http://schemas.microsoft.com/office/drawing/2014/main" id="{00000000-0008-0000-0400-00008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107950</xdr:rowOff>
        </xdr:from>
        <xdr:to>
          <xdr:col>32</xdr:col>
          <xdr:colOff>203200</xdr:colOff>
          <xdr:row>29</xdr:row>
          <xdr:rowOff>12700</xdr:rowOff>
        </xdr:to>
        <xdr:sp macro="" textlink="">
          <xdr:nvSpPr>
            <xdr:cNvPr id="18830" name="Check Box 398" hidden="1">
              <a:extLst>
                <a:ext uri="{63B3BB69-23CF-44E3-9099-C40C66FF867C}">
                  <a14:compatExt spid="_x0000_s18830"/>
                </a:ext>
                <a:ext uri="{FF2B5EF4-FFF2-40B4-BE49-F238E27FC236}">
                  <a16:creationId xmlns:a16="http://schemas.microsoft.com/office/drawing/2014/main" id="{00000000-0008-0000-0400-00008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107950</xdr:rowOff>
        </xdr:from>
        <xdr:to>
          <xdr:col>32</xdr:col>
          <xdr:colOff>203200</xdr:colOff>
          <xdr:row>30</xdr:row>
          <xdr:rowOff>12700</xdr:rowOff>
        </xdr:to>
        <xdr:sp macro="" textlink="">
          <xdr:nvSpPr>
            <xdr:cNvPr id="18831" name="Check Box 399" hidden="1">
              <a:extLst>
                <a:ext uri="{63B3BB69-23CF-44E3-9099-C40C66FF867C}">
                  <a14:compatExt spid="_x0000_s18831"/>
                </a:ext>
                <a:ext uri="{FF2B5EF4-FFF2-40B4-BE49-F238E27FC236}">
                  <a16:creationId xmlns:a16="http://schemas.microsoft.com/office/drawing/2014/main" id="{00000000-0008-0000-0400-00008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29</xdr:row>
          <xdr:rowOff>107950</xdr:rowOff>
        </xdr:from>
        <xdr:to>
          <xdr:col>32</xdr:col>
          <xdr:colOff>203200</xdr:colOff>
          <xdr:row>31</xdr:row>
          <xdr:rowOff>12700</xdr:rowOff>
        </xdr:to>
        <xdr:sp macro="" textlink="">
          <xdr:nvSpPr>
            <xdr:cNvPr id="18832" name="Check Box 400" hidden="1">
              <a:extLst>
                <a:ext uri="{63B3BB69-23CF-44E3-9099-C40C66FF867C}">
                  <a14:compatExt spid="_x0000_s18832"/>
                </a:ext>
                <a:ext uri="{FF2B5EF4-FFF2-40B4-BE49-F238E27FC236}">
                  <a16:creationId xmlns:a16="http://schemas.microsoft.com/office/drawing/2014/main" id="{00000000-0008-0000-0400-00009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30</xdr:row>
          <xdr:rowOff>107950</xdr:rowOff>
        </xdr:from>
        <xdr:to>
          <xdr:col>32</xdr:col>
          <xdr:colOff>203200</xdr:colOff>
          <xdr:row>32</xdr:row>
          <xdr:rowOff>12700</xdr:rowOff>
        </xdr:to>
        <xdr:sp macro="" textlink="">
          <xdr:nvSpPr>
            <xdr:cNvPr id="18833" name="Check Box 401" hidden="1">
              <a:extLst>
                <a:ext uri="{63B3BB69-23CF-44E3-9099-C40C66FF867C}">
                  <a14:compatExt spid="_x0000_s18833"/>
                </a:ext>
                <a:ext uri="{FF2B5EF4-FFF2-40B4-BE49-F238E27FC236}">
                  <a16:creationId xmlns:a16="http://schemas.microsoft.com/office/drawing/2014/main" id="{00000000-0008-0000-0400-00009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31</xdr:row>
          <xdr:rowOff>107950</xdr:rowOff>
        </xdr:from>
        <xdr:to>
          <xdr:col>32</xdr:col>
          <xdr:colOff>203200</xdr:colOff>
          <xdr:row>33</xdr:row>
          <xdr:rowOff>12700</xdr:rowOff>
        </xdr:to>
        <xdr:sp macro="" textlink="">
          <xdr:nvSpPr>
            <xdr:cNvPr id="18834" name="Check Box 402" hidden="1">
              <a:extLst>
                <a:ext uri="{63B3BB69-23CF-44E3-9099-C40C66FF867C}">
                  <a14:compatExt spid="_x0000_s18834"/>
                </a:ext>
                <a:ext uri="{FF2B5EF4-FFF2-40B4-BE49-F238E27FC236}">
                  <a16:creationId xmlns:a16="http://schemas.microsoft.com/office/drawing/2014/main" id="{00000000-0008-0000-0400-00009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32</xdr:row>
          <xdr:rowOff>107950</xdr:rowOff>
        </xdr:from>
        <xdr:to>
          <xdr:col>32</xdr:col>
          <xdr:colOff>203200</xdr:colOff>
          <xdr:row>34</xdr:row>
          <xdr:rowOff>12700</xdr:rowOff>
        </xdr:to>
        <xdr:sp macro="" textlink="">
          <xdr:nvSpPr>
            <xdr:cNvPr id="18835" name="Check Box 403" hidden="1">
              <a:extLst>
                <a:ext uri="{63B3BB69-23CF-44E3-9099-C40C66FF867C}">
                  <a14:compatExt spid="_x0000_s18835"/>
                </a:ext>
                <a:ext uri="{FF2B5EF4-FFF2-40B4-BE49-F238E27FC236}">
                  <a16:creationId xmlns:a16="http://schemas.microsoft.com/office/drawing/2014/main" id="{00000000-0008-0000-0400-00009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107950</xdr:rowOff>
        </xdr:from>
        <xdr:to>
          <xdr:col>32</xdr:col>
          <xdr:colOff>203200</xdr:colOff>
          <xdr:row>35</xdr:row>
          <xdr:rowOff>12700</xdr:rowOff>
        </xdr:to>
        <xdr:sp macro="" textlink="">
          <xdr:nvSpPr>
            <xdr:cNvPr id="18836" name="Check Box 404" hidden="1">
              <a:extLst>
                <a:ext uri="{63B3BB69-23CF-44E3-9099-C40C66FF867C}">
                  <a14:compatExt spid="_x0000_s18836"/>
                </a:ext>
                <a:ext uri="{FF2B5EF4-FFF2-40B4-BE49-F238E27FC236}">
                  <a16:creationId xmlns:a16="http://schemas.microsoft.com/office/drawing/2014/main" id="{00000000-0008-0000-0400-00009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34</xdr:row>
          <xdr:rowOff>107950</xdr:rowOff>
        </xdr:from>
        <xdr:to>
          <xdr:col>32</xdr:col>
          <xdr:colOff>203200</xdr:colOff>
          <xdr:row>36</xdr:row>
          <xdr:rowOff>12700</xdr:rowOff>
        </xdr:to>
        <xdr:sp macro="" textlink="">
          <xdr:nvSpPr>
            <xdr:cNvPr id="18837" name="Check Box 405" hidden="1">
              <a:extLst>
                <a:ext uri="{63B3BB69-23CF-44E3-9099-C40C66FF867C}">
                  <a14:compatExt spid="_x0000_s18837"/>
                </a:ext>
                <a:ext uri="{FF2B5EF4-FFF2-40B4-BE49-F238E27FC236}">
                  <a16:creationId xmlns:a16="http://schemas.microsoft.com/office/drawing/2014/main" id="{00000000-0008-0000-0400-00009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35</xdr:row>
          <xdr:rowOff>107950</xdr:rowOff>
        </xdr:from>
        <xdr:to>
          <xdr:col>32</xdr:col>
          <xdr:colOff>203200</xdr:colOff>
          <xdr:row>37</xdr:row>
          <xdr:rowOff>12700</xdr:rowOff>
        </xdr:to>
        <xdr:sp macro="" textlink="">
          <xdr:nvSpPr>
            <xdr:cNvPr id="18838" name="Check Box 406" hidden="1">
              <a:extLst>
                <a:ext uri="{63B3BB69-23CF-44E3-9099-C40C66FF867C}">
                  <a14:compatExt spid="_x0000_s18838"/>
                </a:ext>
                <a:ext uri="{FF2B5EF4-FFF2-40B4-BE49-F238E27FC236}">
                  <a16:creationId xmlns:a16="http://schemas.microsoft.com/office/drawing/2014/main" id="{00000000-0008-0000-0400-00009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36</xdr:row>
          <xdr:rowOff>107950</xdr:rowOff>
        </xdr:from>
        <xdr:to>
          <xdr:col>32</xdr:col>
          <xdr:colOff>203200</xdr:colOff>
          <xdr:row>38</xdr:row>
          <xdr:rowOff>12700</xdr:rowOff>
        </xdr:to>
        <xdr:sp macro="" textlink="">
          <xdr:nvSpPr>
            <xdr:cNvPr id="18839" name="Check Box 407" hidden="1">
              <a:extLst>
                <a:ext uri="{63B3BB69-23CF-44E3-9099-C40C66FF867C}">
                  <a14:compatExt spid="_x0000_s18839"/>
                </a:ext>
                <a:ext uri="{FF2B5EF4-FFF2-40B4-BE49-F238E27FC236}">
                  <a16:creationId xmlns:a16="http://schemas.microsoft.com/office/drawing/2014/main" id="{00000000-0008-0000-0400-00009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37</xdr:row>
          <xdr:rowOff>107950</xdr:rowOff>
        </xdr:from>
        <xdr:to>
          <xdr:col>32</xdr:col>
          <xdr:colOff>203200</xdr:colOff>
          <xdr:row>39</xdr:row>
          <xdr:rowOff>12700</xdr:rowOff>
        </xdr:to>
        <xdr:sp macro="" textlink="">
          <xdr:nvSpPr>
            <xdr:cNvPr id="18840" name="Check Box 408" hidden="1">
              <a:extLst>
                <a:ext uri="{63B3BB69-23CF-44E3-9099-C40C66FF867C}">
                  <a14:compatExt spid="_x0000_s18840"/>
                </a:ext>
                <a:ext uri="{FF2B5EF4-FFF2-40B4-BE49-F238E27FC236}">
                  <a16:creationId xmlns:a16="http://schemas.microsoft.com/office/drawing/2014/main" id="{00000000-0008-0000-0400-00009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38</xdr:row>
          <xdr:rowOff>107950</xdr:rowOff>
        </xdr:from>
        <xdr:to>
          <xdr:col>32</xdr:col>
          <xdr:colOff>203200</xdr:colOff>
          <xdr:row>40</xdr:row>
          <xdr:rowOff>12700</xdr:rowOff>
        </xdr:to>
        <xdr:sp macro="" textlink="">
          <xdr:nvSpPr>
            <xdr:cNvPr id="18841" name="Check Box 409" hidden="1">
              <a:extLst>
                <a:ext uri="{63B3BB69-23CF-44E3-9099-C40C66FF867C}">
                  <a14:compatExt spid="_x0000_s18841"/>
                </a:ext>
                <a:ext uri="{FF2B5EF4-FFF2-40B4-BE49-F238E27FC236}">
                  <a16:creationId xmlns:a16="http://schemas.microsoft.com/office/drawing/2014/main" id="{00000000-0008-0000-0400-00009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39</xdr:row>
          <xdr:rowOff>107950</xdr:rowOff>
        </xdr:from>
        <xdr:to>
          <xdr:col>32</xdr:col>
          <xdr:colOff>203200</xdr:colOff>
          <xdr:row>41</xdr:row>
          <xdr:rowOff>12700</xdr:rowOff>
        </xdr:to>
        <xdr:sp macro="" textlink="">
          <xdr:nvSpPr>
            <xdr:cNvPr id="18842" name="Check Box 410" hidden="1">
              <a:extLst>
                <a:ext uri="{63B3BB69-23CF-44E3-9099-C40C66FF867C}">
                  <a14:compatExt spid="_x0000_s18842"/>
                </a:ext>
                <a:ext uri="{FF2B5EF4-FFF2-40B4-BE49-F238E27FC236}">
                  <a16:creationId xmlns:a16="http://schemas.microsoft.com/office/drawing/2014/main" id="{00000000-0008-0000-0400-00009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41</xdr:row>
          <xdr:rowOff>107950</xdr:rowOff>
        </xdr:from>
        <xdr:to>
          <xdr:col>32</xdr:col>
          <xdr:colOff>203200</xdr:colOff>
          <xdr:row>43</xdr:row>
          <xdr:rowOff>12700</xdr:rowOff>
        </xdr:to>
        <xdr:sp macro="" textlink="">
          <xdr:nvSpPr>
            <xdr:cNvPr id="18843" name="Check Box 411" hidden="1">
              <a:extLst>
                <a:ext uri="{63B3BB69-23CF-44E3-9099-C40C66FF867C}">
                  <a14:compatExt spid="_x0000_s18843"/>
                </a:ext>
                <a:ext uri="{FF2B5EF4-FFF2-40B4-BE49-F238E27FC236}">
                  <a16:creationId xmlns:a16="http://schemas.microsoft.com/office/drawing/2014/main" id="{00000000-0008-0000-0400-00009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40</xdr:row>
          <xdr:rowOff>107950</xdr:rowOff>
        </xdr:from>
        <xdr:to>
          <xdr:col>32</xdr:col>
          <xdr:colOff>203200</xdr:colOff>
          <xdr:row>42</xdr:row>
          <xdr:rowOff>12700</xdr:rowOff>
        </xdr:to>
        <xdr:sp macro="" textlink="">
          <xdr:nvSpPr>
            <xdr:cNvPr id="18844" name="Check Box 412" hidden="1">
              <a:extLst>
                <a:ext uri="{63B3BB69-23CF-44E3-9099-C40C66FF867C}">
                  <a14:compatExt spid="_x0000_s18844"/>
                </a:ext>
                <a:ext uri="{FF2B5EF4-FFF2-40B4-BE49-F238E27FC236}">
                  <a16:creationId xmlns:a16="http://schemas.microsoft.com/office/drawing/2014/main" id="{00000000-0008-0000-0400-00009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42</xdr:row>
          <xdr:rowOff>107950</xdr:rowOff>
        </xdr:from>
        <xdr:to>
          <xdr:col>32</xdr:col>
          <xdr:colOff>203200</xdr:colOff>
          <xdr:row>44</xdr:row>
          <xdr:rowOff>12700</xdr:rowOff>
        </xdr:to>
        <xdr:sp macro="" textlink="">
          <xdr:nvSpPr>
            <xdr:cNvPr id="18845" name="Check Box 413" hidden="1">
              <a:extLst>
                <a:ext uri="{63B3BB69-23CF-44E3-9099-C40C66FF867C}">
                  <a14:compatExt spid="_x0000_s18845"/>
                </a:ext>
                <a:ext uri="{FF2B5EF4-FFF2-40B4-BE49-F238E27FC236}">
                  <a16:creationId xmlns:a16="http://schemas.microsoft.com/office/drawing/2014/main" id="{00000000-0008-0000-0400-00009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107950</xdr:rowOff>
        </xdr:from>
        <xdr:to>
          <xdr:col>32</xdr:col>
          <xdr:colOff>203200</xdr:colOff>
          <xdr:row>45</xdr:row>
          <xdr:rowOff>12700</xdr:rowOff>
        </xdr:to>
        <xdr:sp macro="" textlink="">
          <xdr:nvSpPr>
            <xdr:cNvPr id="18846" name="Check Box 414" hidden="1">
              <a:extLst>
                <a:ext uri="{63B3BB69-23CF-44E3-9099-C40C66FF867C}">
                  <a14:compatExt spid="_x0000_s18846"/>
                </a:ext>
                <a:ext uri="{FF2B5EF4-FFF2-40B4-BE49-F238E27FC236}">
                  <a16:creationId xmlns:a16="http://schemas.microsoft.com/office/drawing/2014/main" id="{00000000-0008-0000-0400-00009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44</xdr:row>
          <xdr:rowOff>107950</xdr:rowOff>
        </xdr:from>
        <xdr:to>
          <xdr:col>32</xdr:col>
          <xdr:colOff>203200</xdr:colOff>
          <xdr:row>46</xdr:row>
          <xdr:rowOff>12700</xdr:rowOff>
        </xdr:to>
        <xdr:sp macro="" textlink="">
          <xdr:nvSpPr>
            <xdr:cNvPr id="18847" name="Check Box 415" hidden="1">
              <a:extLst>
                <a:ext uri="{63B3BB69-23CF-44E3-9099-C40C66FF867C}">
                  <a14:compatExt spid="_x0000_s18847"/>
                </a:ext>
                <a:ext uri="{FF2B5EF4-FFF2-40B4-BE49-F238E27FC236}">
                  <a16:creationId xmlns:a16="http://schemas.microsoft.com/office/drawing/2014/main" id="{00000000-0008-0000-0400-00009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16082</xdr:rowOff>
    </xdr:from>
    <xdr:to>
      <xdr:col>1</xdr:col>
      <xdr:colOff>0</xdr:colOff>
      <xdr:row>2</xdr:row>
      <xdr:rowOff>0</xdr:rowOff>
    </xdr:to>
    <xdr:pic>
      <xdr:nvPicPr>
        <xdr:cNvPr id="6" name="Grafik 5">
          <a:extLst>
            <a:ext uri="{FF2B5EF4-FFF2-40B4-BE49-F238E27FC236}">
              <a16:creationId xmlns:a16="http://schemas.microsoft.com/office/drawing/2014/main" id="{00000000-0008-0000-1C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54332"/>
          <a:ext cx="8505825" cy="1222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0</xdr:row>
      <xdr:rowOff>19050</xdr:rowOff>
    </xdr:from>
    <xdr:to>
      <xdr:col>1</xdr:col>
      <xdr:colOff>9525</xdr:colOff>
      <xdr:row>1</xdr:row>
      <xdr:rowOff>9525</xdr:rowOff>
    </xdr:to>
    <xdr:pic>
      <xdr:nvPicPr>
        <xdr:cNvPr id="7" name="Grafik 6">
          <a:extLst>
            <a:ext uri="{FF2B5EF4-FFF2-40B4-BE49-F238E27FC236}">
              <a16:creationId xmlns:a16="http://schemas.microsoft.com/office/drawing/2014/main" id="{00000000-0008-0000-1C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19050"/>
          <a:ext cx="850582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3038475</xdr:colOff>
      <xdr:row>3</xdr:row>
      <xdr:rowOff>0</xdr:rowOff>
    </xdr:to>
    <xdr:pic>
      <xdr:nvPicPr>
        <xdr:cNvPr id="1091152" name="Picture 10" descr="Antenne_es">
          <a:extLst>
            <a:ext uri="{FF2B5EF4-FFF2-40B4-BE49-F238E27FC236}">
              <a16:creationId xmlns:a16="http://schemas.microsoft.com/office/drawing/2014/main" id="{00000000-0008-0000-1D00-000050A61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7924800"/>
          <a:ext cx="3038475" cy="3962400"/>
        </a:xfrm>
        <a:prstGeom prst="rect">
          <a:avLst/>
        </a:prstGeom>
        <a:noFill/>
        <a:ln w="9525">
          <a:noFill/>
          <a:miter lim="800000"/>
          <a:headEnd/>
          <a:tailEnd/>
        </a:ln>
      </xdr:spPr>
    </xdr:pic>
    <xdr:clientData/>
  </xdr:twoCellAnchor>
  <xdr:twoCellAnchor editAs="oneCell">
    <xdr:from>
      <xdr:col>0</xdr:col>
      <xdr:colOff>1</xdr:colOff>
      <xdr:row>0</xdr:row>
      <xdr:rowOff>0</xdr:rowOff>
    </xdr:from>
    <xdr:to>
      <xdr:col>0</xdr:col>
      <xdr:colOff>3048001</xdr:colOff>
      <xdr:row>0</xdr:row>
      <xdr:rowOff>3951111</xdr:rowOff>
    </xdr:to>
    <xdr:pic>
      <xdr:nvPicPr>
        <xdr:cNvPr id="2" name="Grafi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 y="0"/>
          <a:ext cx="3048000" cy="3951111"/>
        </a:xfrm>
        <a:prstGeom prst="rect">
          <a:avLst/>
        </a:prstGeom>
      </xdr:spPr>
    </xdr:pic>
    <xdr:clientData/>
  </xdr:twoCellAnchor>
  <xdr:twoCellAnchor editAs="oneCell">
    <xdr:from>
      <xdr:col>0</xdr:col>
      <xdr:colOff>1</xdr:colOff>
      <xdr:row>1</xdr:row>
      <xdr:rowOff>0</xdr:rowOff>
    </xdr:from>
    <xdr:to>
      <xdr:col>0</xdr:col>
      <xdr:colOff>3048001</xdr:colOff>
      <xdr:row>2</xdr:row>
      <xdr:rowOff>3192</xdr:rowOff>
    </xdr:to>
    <xdr:pic>
      <xdr:nvPicPr>
        <xdr:cNvPr id="4" name="Grafik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3" cstate="print"/>
        <a:stretch>
          <a:fillRect/>
        </a:stretch>
      </xdr:blipFill>
      <xdr:spPr>
        <a:xfrm>
          <a:off x="1" y="3962400"/>
          <a:ext cx="3048000" cy="39655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4667250</xdr:colOff>
      <xdr:row>2</xdr:row>
      <xdr:rowOff>2676525</xdr:rowOff>
    </xdr:to>
    <xdr:pic>
      <xdr:nvPicPr>
        <xdr:cNvPr id="1086043" name="Picture 21" descr="wlan_ES">
          <a:extLst>
            <a:ext uri="{FF2B5EF4-FFF2-40B4-BE49-F238E27FC236}">
              <a16:creationId xmlns:a16="http://schemas.microsoft.com/office/drawing/2014/main" id="{00000000-0008-0000-1E00-00005B921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372100"/>
          <a:ext cx="4667250" cy="267652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0</xdr:col>
      <xdr:colOff>4677428</xdr:colOff>
      <xdr:row>1</xdr:row>
      <xdr:rowOff>38480</xdr:rowOff>
    </xdr:to>
    <xdr:pic>
      <xdr:nvPicPr>
        <xdr:cNvPr id="5" name="Grafik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2" cstate="print"/>
        <a:stretch>
          <a:fillRect/>
        </a:stretch>
      </xdr:blipFill>
      <xdr:spPr>
        <a:xfrm>
          <a:off x="0" y="0"/>
          <a:ext cx="4677428" cy="2724530"/>
        </a:xfrm>
        <a:prstGeom prst="rect">
          <a:avLst/>
        </a:prstGeom>
      </xdr:spPr>
    </xdr:pic>
    <xdr:clientData/>
  </xdr:twoCellAnchor>
  <xdr:twoCellAnchor editAs="oneCell">
    <xdr:from>
      <xdr:col>0</xdr:col>
      <xdr:colOff>0</xdr:colOff>
      <xdr:row>1</xdr:row>
      <xdr:rowOff>0</xdr:rowOff>
    </xdr:from>
    <xdr:to>
      <xdr:col>0</xdr:col>
      <xdr:colOff>4676775</xdr:colOff>
      <xdr:row>2</xdr:row>
      <xdr:rowOff>0</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3" cstate="print"/>
        <a:stretch>
          <a:fillRect/>
        </a:stretch>
      </xdr:blipFill>
      <xdr:spPr>
        <a:xfrm>
          <a:off x="0" y="2686050"/>
          <a:ext cx="4676775" cy="26860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lancom-systems.de/fileadmin/download/documentation/manuals/Antenna-distance-calculator_EN.pdf"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9.xml"/><Relationship Id="rId299" Type="http://schemas.openxmlformats.org/officeDocument/2006/relationships/ctrlProp" Target="../ctrlProps/ctrlProp311.xml"/><Relationship Id="rId21" Type="http://schemas.openxmlformats.org/officeDocument/2006/relationships/ctrlProp" Target="../ctrlProps/ctrlProp33.xml"/><Relationship Id="rId63" Type="http://schemas.openxmlformats.org/officeDocument/2006/relationships/ctrlProp" Target="../ctrlProps/ctrlProp75.xml"/><Relationship Id="rId159" Type="http://schemas.openxmlformats.org/officeDocument/2006/relationships/ctrlProp" Target="../ctrlProps/ctrlProp171.xml"/><Relationship Id="rId170" Type="http://schemas.openxmlformats.org/officeDocument/2006/relationships/ctrlProp" Target="../ctrlProps/ctrlProp182.xml"/><Relationship Id="rId226" Type="http://schemas.openxmlformats.org/officeDocument/2006/relationships/ctrlProp" Target="../ctrlProps/ctrlProp238.xml"/><Relationship Id="rId268" Type="http://schemas.openxmlformats.org/officeDocument/2006/relationships/ctrlProp" Target="../ctrlProps/ctrlProp280.xml"/><Relationship Id="rId32" Type="http://schemas.openxmlformats.org/officeDocument/2006/relationships/ctrlProp" Target="../ctrlProps/ctrlProp44.xml"/><Relationship Id="rId74" Type="http://schemas.openxmlformats.org/officeDocument/2006/relationships/ctrlProp" Target="../ctrlProps/ctrlProp86.xml"/><Relationship Id="rId128" Type="http://schemas.openxmlformats.org/officeDocument/2006/relationships/ctrlProp" Target="../ctrlProps/ctrlProp140.xml"/><Relationship Id="rId5" Type="http://schemas.openxmlformats.org/officeDocument/2006/relationships/ctrlProp" Target="../ctrlProps/ctrlProp17.xml"/><Relationship Id="rId181" Type="http://schemas.openxmlformats.org/officeDocument/2006/relationships/ctrlProp" Target="../ctrlProps/ctrlProp193.xml"/><Relationship Id="rId237" Type="http://schemas.openxmlformats.org/officeDocument/2006/relationships/ctrlProp" Target="../ctrlProps/ctrlProp249.xml"/><Relationship Id="rId279" Type="http://schemas.openxmlformats.org/officeDocument/2006/relationships/ctrlProp" Target="../ctrlProps/ctrlProp291.xml"/><Relationship Id="rId43" Type="http://schemas.openxmlformats.org/officeDocument/2006/relationships/ctrlProp" Target="../ctrlProps/ctrlProp55.xml"/><Relationship Id="rId139" Type="http://schemas.openxmlformats.org/officeDocument/2006/relationships/ctrlProp" Target="../ctrlProps/ctrlProp151.xml"/><Relationship Id="rId290" Type="http://schemas.openxmlformats.org/officeDocument/2006/relationships/ctrlProp" Target="../ctrlProps/ctrlProp302.xml"/><Relationship Id="rId304" Type="http://schemas.openxmlformats.org/officeDocument/2006/relationships/ctrlProp" Target="../ctrlProps/ctrlProp316.xml"/><Relationship Id="rId85" Type="http://schemas.openxmlformats.org/officeDocument/2006/relationships/ctrlProp" Target="../ctrlProps/ctrlProp97.xml"/><Relationship Id="rId150" Type="http://schemas.openxmlformats.org/officeDocument/2006/relationships/ctrlProp" Target="../ctrlProps/ctrlProp162.xml"/><Relationship Id="rId192" Type="http://schemas.openxmlformats.org/officeDocument/2006/relationships/ctrlProp" Target="../ctrlProps/ctrlProp204.xml"/><Relationship Id="rId206" Type="http://schemas.openxmlformats.org/officeDocument/2006/relationships/ctrlProp" Target="../ctrlProps/ctrlProp218.xml"/><Relationship Id="rId248" Type="http://schemas.openxmlformats.org/officeDocument/2006/relationships/ctrlProp" Target="../ctrlProps/ctrlProp260.xml"/><Relationship Id="rId12" Type="http://schemas.openxmlformats.org/officeDocument/2006/relationships/ctrlProp" Target="../ctrlProps/ctrlProp24.xml"/><Relationship Id="rId108" Type="http://schemas.openxmlformats.org/officeDocument/2006/relationships/ctrlProp" Target="../ctrlProps/ctrlProp120.xml"/><Relationship Id="rId315" Type="http://schemas.openxmlformats.org/officeDocument/2006/relationships/comments" Target="../comments2.xml"/><Relationship Id="rId54" Type="http://schemas.openxmlformats.org/officeDocument/2006/relationships/ctrlProp" Target="../ctrlProps/ctrlProp66.xml"/><Relationship Id="rId96" Type="http://schemas.openxmlformats.org/officeDocument/2006/relationships/ctrlProp" Target="../ctrlProps/ctrlProp108.xml"/><Relationship Id="rId161" Type="http://schemas.openxmlformats.org/officeDocument/2006/relationships/ctrlProp" Target="../ctrlProps/ctrlProp173.xml"/><Relationship Id="rId217" Type="http://schemas.openxmlformats.org/officeDocument/2006/relationships/ctrlProp" Target="../ctrlProps/ctrlProp229.xml"/><Relationship Id="rId259" Type="http://schemas.openxmlformats.org/officeDocument/2006/relationships/ctrlProp" Target="../ctrlProps/ctrlProp271.xml"/><Relationship Id="rId23" Type="http://schemas.openxmlformats.org/officeDocument/2006/relationships/ctrlProp" Target="../ctrlProps/ctrlProp35.xml"/><Relationship Id="rId119" Type="http://schemas.openxmlformats.org/officeDocument/2006/relationships/ctrlProp" Target="../ctrlProps/ctrlProp131.xml"/><Relationship Id="rId270" Type="http://schemas.openxmlformats.org/officeDocument/2006/relationships/ctrlProp" Target="../ctrlProps/ctrlProp282.xml"/><Relationship Id="rId65" Type="http://schemas.openxmlformats.org/officeDocument/2006/relationships/ctrlProp" Target="../ctrlProps/ctrlProp77.xml"/><Relationship Id="rId130" Type="http://schemas.openxmlformats.org/officeDocument/2006/relationships/ctrlProp" Target="../ctrlProps/ctrlProp142.xml"/><Relationship Id="rId172" Type="http://schemas.openxmlformats.org/officeDocument/2006/relationships/ctrlProp" Target="../ctrlProps/ctrlProp184.xml"/><Relationship Id="rId193" Type="http://schemas.openxmlformats.org/officeDocument/2006/relationships/ctrlProp" Target="../ctrlProps/ctrlProp205.xml"/><Relationship Id="rId207" Type="http://schemas.openxmlformats.org/officeDocument/2006/relationships/ctrlProp" Target="../ctrlProps/ctrlProp219.xml"/><Relationship Id="rId228" Type="http://schemas.openxmlformats.org/officeDocument/2006/relationships/ctrlProp" Target="../ctrlProps/ctrlProp240.xml"/><Relationship Id="rId249" Type="http://schemas.openxmlformats.org/officeDocument/2006/relationships/ctrlProp" Target="../ctrlProps/ctrlProp261.xml"/><Relationship Id="rId13" Type="http://schemas.openxmlformats.org/officeDocument/2006/relationships/ctrlProp" Target="../ctrlProps/ctrlProp25.xml"/><Relationship Id="rId109" Type="http://schemas.openxmlformats.org/officeDocument/2006/relationships/ctrlProp" Target="../ctrlProps/ctrlProp121.xml"/><Relationship Id="rId260" Type="http://schemas.openxmlformats.org/officeDocument/2006/relationships/ctrlProp" Target="../ctrlProps/ctrlProp272.xml"/><Relationship Id="rId281" Type="http://schemas.openxmlformats.org/officeDocument/2006/relationships/ctrlProp" Target="../ctrlProps/ctrlProp293.xml"/><Relationship Id="rId34" Type="http://schemas.openxmlformats.org/officeDocument/2006/relationships/ctrlProp" Target="../ctrlProps/ctrlProp46.xml"/><Relationship Id="rId55" Type="http://schemas.openxmlformats.org/officeDocument/2006/relationships/ctrlProp" Target="../ctrlProps/ctrlProp67.xml"/><Relationship Id="rId76" Type="http://schemas.openxmlformats.org/officeDocument/2006/relationships/ctrlProp" Target="../ctrlProps/ctrlProp88.xml"/><Relationship Id="rId97" Type="http://schemas.openxmlformats.org/officeDocument/2006/relationships/ctrlProp" Target="../ctrlProps/ctrlProp109.xml"/><Relationship Id="rId120" Type="http://schemas.openxmlformats.org/officeDocument/2006/relationships/ctrlProp" Target="../ctrlProps/ctrlProp132.xml"/><Relationship Id="rId141" Type="http://schemas.openxmlformats.org/officeDocument/2006/relationships/ctrlProp" Target="../ctrlProps/ctrlProp153.xml"/><Relationship Id="rId7" Type="http://schemas.openxmlformats.org/officeDocument/2006/relationships/ctrlProp" Target="../ctrlProps/ctrlProp19.xml"/><Relationship Id="rId162" Type="http://schemas.openxmlformats.org/officeDocument/2006/relationships/ctrlProp" Target="../ctrlProps/ctrlProp174.xml"/><Relationship Id="rId183" Type="http://schemas.openxmlformats.org/officeDocument/2006/relationships/ctrlProp" Target="../ctrlProps/ctrlProp195.xml"/><Relationship Id="rId218" Type="http://schemas.openxmlformats.org/officeDocument/2006/relationships/ctrlProp" Target="../ctrlProps/ctrlProp230.xml"/><Relationship Id="rId239" Type="http://schemas.openxmlformats.org/officeDocument/2006/relationships/ctrlProp" Target="../ctrlProps/ctrlProp251.xml"/><Relationship Id="rId250" Type="http://schemas.openxmlformats.org/officeDocument/2006/relationships/ctrlProp" Target="../ctrlProps/ctrlProp262.xml"/><Relationship Id="rId271" Type="http://schemas.openxmlformats.org/officeDocument/2006/relationships/ctrlProp" Target="../ctrlProps/ctrlProp283.xml"/><Relationship Id="rId292" Type="http://schemas.openxmlformats.org/officeDocument/2006/relationships/ctrlProp" Target="../ctrlProps/ctrlProp304.xml"/><Relationship Id="rId306" Type="http://schemas.openxmlformats.org/officeDocument/2006/relationships/ctrlProp" Target="../ctrlProps/ctrlProp318.xml"/><Relationship Id="rId24" Type="http://schemas.openxmlformats.org/officeDocument/2006/relationships/ctrlProp" Target="../ctrlProps/ctrlProp36.xml"/><Relationship Id="rId45" Type="http://schemas.openxmlformats.org/officeDocument/2006/relationships/ctrlProp" Target="../ctrlProps/ctrlProp57.xml"/><Relationship Id="rId66" Type="http://schemas.openxmlformats.org/officeDocument/2006/relationships/ctrlProp" Target="../ctrlProps/ctrlProp78.xml"/><Relationship Id="rId87" Type="http://schemas.openxmlformats.org/officeDocument/2006/relationships/ctrlProp" Target="../ctrlProps/ctrlProp99.xml"/><Relationship Id="rId110" Type="http://schemas.openxmlformats.org/officeDocument/2006/relationships/ctrlProp" Target="../ctrlProps/ctrlProp122.xml"/><Relationship Id="rId131" Type="http://schemas.openxmlformats.org/officeDocument/2006/relationships/ctrlProp" Target="../ctrlProps/ctrlProp143.xml"/><Relationship Id="rId152" Type="http://schemas.openxmlformats.org/officeDocument/2006/relationships/ctrlProp" Target="../ctrlProps/ctrlProp164.xml"/><Relationship Id="rId173" Type="http://schemas.openxmlformats.org/officeDocument/2006/relationships/ctrlProp" Target="../ctrlProps/ctrlProp185.xml"/><Relationship Id="rId194" Type="http://schemas.openxmlformats.org/officeDocument/2006/relationships/ctrlProp" Target="../ctrlProps/ctrlProp206.xml"/><Relationship Id="rId208" Type="http://schemas.openxmlformats.org/officeDocument/2006/relationships/ctrlProp" Target="../ctrlProps/ctrlProp220.xml"/><Relationship Id="rId229" Type="http://schemas.openxmlformats.org/officeDocument/2006/relationships/ctrlProp" Target="../ctrlProps/ctrlProp241.xml"/><Relationship Id="rId240" Type="http://schemas.openxmlformats.org/officeDocument/2006/relationships/ctrlProp" Target="../ctrlProps/ctrlProp252.xml"/><Relationship Id="rId261" Type="http://schemas.openxmlformats.org/officeDocument/2006/relationships/ctrlProp" Target="../ctrlProps/ctrlProp273.xml"/><Relationship Id="rId14" Type="http://schemas.openxmlformats.org/officeDocument/2006/relationships/ctrlProp" Target="../ctrlProps/ctrlProp26.xml"/><Relationship Id="rId35" Type="http://schemas.openxmlformats.org/officeDocument/2006/relationships/ctrlProp" Target="../ctrlProps/ctrlProp47.xml"/><Relationship Id="rId56" Type="http://schemas.openxmlformats.org/officeDocument/2006/relationships/ctrlProp" Target="../ctrlProps/ctrlProp68.xml"/><Relationship Id="rId77" Type="http://schemas.openxmlformats.org/officeDocument/2006/relationships/ctrlProp" Target="../ctrlProps/ctrlProp89.xml"/><Relationship Id="rId100" Type="http://schemas.openxmlformats.org/officeDocument/2006/relationships/ctrlProp" Target="../ctrlProps/ctrlProp112.xml"/><Relationship Id="rId282" Type="http://schemas.openxmlformats.org/officeDocument/2006/relationships/ctrlProp" Target="../ctrlProps/ctrlProp294.xml"/><Relationship Id="rId8" Type="http://schemas.openxmlformats.org/officeDocument/2006/relationships/ctrlProp" Target="../ctrlProps/ctrlProp20.xml"/><Relationship Id="rId98" Type="http://schemas.openxmlformats.org/officeDocument/2006/relationships/ctrlProp" Target="../ctrlProps/ctrlProp110.xml"/><Relationship Id="rId121" Type="http://schemas.openxmlformats.org/officeDocument/2006/relationships/ctrlProp" Target="../ctrlProps/ctrlProp133.xml"/><Relationship Id="rId142" Type="http://schemas.openxmlformats.org/officeDocument/2006/relationships/ctrlProp" Target="../ctrlProps/ctrlProp154.xml"/><Relationship Id="rId163" Type="http://schemas.openxmlformats.org/officeDocument/2006/relationships/ctrlProp" Target="../ctrlProps/ctrlProp175.xml"/><Relationship Id="rId184" Type="http://schemas.openxmlformats.org/officeDocument/2006/relationships/ctrlProp" Target="../ctrlProps/ctrlProp196.xml"/><Relationship Id="rId219" Type="http://schemas.openxmlformats.org/officeDocument/2006/relationships/ctrlProp" Target="../ctrlProps/ctrlProp231.xml"/><Relationship Id="rId230" Type="http://schemas.openxmlformats.org/officeDocument/2006/relationships/ctrlProp" Target="../ctrlProps/ctrlProp242.xml"/><Relationship Id="rId251" Type="http://schemas.openxmlformats.org/officeDocument/2006/relationships/ctrlProp" Target="../ctrlProps/ctrlProp263.xml"/><Relationship Id="rId25" Type="http://schemas.openxmlformats.org/officeDocument/2006/relationships/ctrlProp" Target="../ctrlProps/ctrlProp37.xml"/><Relationship Id="rId46" Type="http://schemas.openxmlformats.org/officeDocument/2006/relationships/ctrlProp" Target="../ctrlProps/ctrlProp58.xml"/><Relationship Id="rId67" Type="http://schemas.openxmlformats.org/officeDocument/2006/relationships/ctrlProp" Target="../ctrlProps/ctrlProp79.xml"/><Relationship Id="rId272" Type="http://schemas.openxmlformats.org/officeDocument/2006/relationships/ctrlProp" Target="../ctrlProps/ctrlProp284.xml"/><Relationship Id="rId293" Type="http://schemas.openxmlformats.org/officeDocument/2006/relationships/ctrlProp" Target="../ctrlProps/ctrlProp305.xml"/><Relationship Id="rId307" Type="http://schemas.openxmlformats.org/officeDocument/2006/relationships/ctrlProp" Target="../ctrlProps/ctrlProp319.xml"/><Relationship Id="rId88" Type="http://schemas.openxmlformats.org/officeDocument/2006/relationships/ctrlProp" Target="../ctrlProps/ctrlProp100.xml"/><Relationship Id="rId111" Type="http://schemas.openxmlformats.org/officeDocument/2006/relationships/ctrlProp" Target="../ctrlProps/ctrlProp123.xml"/><Relationship Id="rId132" Type="http://schemas.openxmlformats.org/officeDocument/2006/relationships/ctrlProp" Target="../ctrlProps/ctrlProp144.xml"/><Relationship Id="rId153" Type="http://schemas.openxmlformats.org/officeDocument/2006/relationships/ctrlProp" Target="../ctrlProps/ctrlProp165.xml"/><Relationship Id="rId174" Type="http://schemas.openxmlformats.org/officeDocument/2006/relationships/ctrlProp" Target="../ctrlProps/ctrlProp186.xml"/><Relationship Id="rId195" Type="http://schemas.openxmlformats.org/officeDocument/2006/relationships/ctrlProp" Target="../ctrlProps/ctrlProp207.xml"/><Relationship Id="rId209" Type="http://schemas.openxmlformats.org/officeDocument/2006/relationships/ctrlProp" Target="../ctrlProps/ctrlProp221.xml"/><Relationship Id="rId220" Type="http://schemas.openxmlformats.org/officeDocument/2006/relationships/ctrlProp" Target="../ctrlProps/ctrlProp232.xml"/><Relationship Id="rId241" Type="http://schemas.openxmlformats.org/officeDocument/2006/relationships/ctrlProp" Target="../ctrlProps/ctrlProp253.xml"/><Relationship Id="rId15" Type="http://schemas.openxmlformats.org/officeDocument/2006/relationships/ctrlProp" Target="../ctrlProps/ctrlProp27.xml"/><Relationship Id="rId36" Type="http://schemas.openxmlformats.org/officeDocument/2006/relationships/ctrlProp" Target="../ctrlProps/ctrlProp48.xml"/><Relationship Id="rId57" Type="http://schemas.openxmlformats.org/officeDocument/2006/relationships/ctrlProp" Target="../ctrlProps/ctrlProp69.xml"/><Relationship Id="rId262" Type="http://schemas.openxmlformats.org/officeDocument/2006/relationships/ctrlProp" Target="../ctrlProps/ctrlProp274.xml"/><Relationship Id="rId283" Type="http://schemas.openxmlformats.org/officeDocument/2006/relationships/ctrlProp" Target="../ctrlProps/ctrlProp295.xml"/><Relationship Id="rId78" Type="http://schemas.openxmlformats.org/officeDocument/2006/relationships/ctrlProp" Target="../ctrlProps/ctrlProp90.xml"/><Relationship Id="rId99" Type="http://schemas.openxmlformats.org/officeDocument/2006/relationships/ctrlProp" Target="../ctrlProps/ctrlProp111.xml"/><Relationship Id="rId101" Type="http://schemas.openxmlformats.org/officeDocument/2006/relationships/ctrlProp" Target="../ctrlProps/ctrlProp113.xml"/><Relationship Id="rId122" Type="http://schemas.openxmlformats.org/officeDocument/2006/relationships/ctrlProp" Target="../ctrlProps/ctrlProp134.xml"/><Relationship Id="rId143" Type="http://schemas.openxmlformats.org/officeDocument/2006/relationships/ctrlProp" Target="../ctrlProps/ctrlProp155.xml"/><Relationship Id="rId164" Type="http://schemas.openxmlformats.org/officeDocument/2006/relationships/ctrlProp" Target="../ctrlProps/ctrlProp176.xml"/><Relationship Id="rId185" Type="http://schemas.openxmlformats.org/officeDocument/2006/relationships/ctrlProp" Target="../ctrlProps/ctrlProp197.xml"/><Relationship Id="rId9" Type="http://schemas.openxmlformats.org/officeDocument/2006/relationships/ctrlProp" Target="../ctrlProps/ctrlProp21.xml"/><Relationship Id="rId210" Type="http://schemas.openxmlformats.org/officeDocument/2006/relationships/ctrlProp" Target="../ctrlProps/ctrlProp222.xml"/><Relationship Id="rId26" Type="http://schemas.openxmlformats.org/officeDocument/2006/relationships/ctrlProp" Target="../ctrlProps/ctrlProp38.xml"/><Relationship Id="rId231" Type="http://schemas.openxmlformats.org/officeDocument/2006/relationships/ctrlProp" Target="../ctrlProps/ctrlProp243.xml"/><Relationship Id="rId252" Type="http://schemas.openxmlformats.org/officeDocument/2006/relationships/ctrlProp" Target="../ctrlProps/ctrlProp264.xml"/><Relationship Id="rId273" Type="http://schemas.openxmlformats.org/officeDocument/2006/relationships/ctrlProp" Target="../ctrlProps/ctrlProp285.xml"/><Relationship Id="rId294" Type="http://schemas.openxmlformats.org/officeDocument/2006/relationships/ctrlProp" Target="../ctrlProps/ctrlProp306.xml"/><Relationship Id="rId308" Type="http://schemas.openxmlformats.org/officeDocument/2006/relationships/ctrlProp" Target="../ctrlProps/ctrlProp320.xml"/><Relationship Id="rId47" Type="http://schemas.openxmlformats.org/officeDocument/2006/relationships/ctrlProp" Target="../ctrlProps/ctrlProp59.xml"/><Relationship Id="rId68" Type="http://schemas.openxmlformats.org/officeDocument/2006/relationships/ctrlProp" Target="../ctrlProps/ctrlProp80.xml"/><Relationship Id="rId89" Type="http://schemas.openxmlformats.org/officeDocument/2006/relationships/ctrlProp" Target="../ctrlProps/ctrlProp101.xml"/><Relationship Id="rId112" Type="http://schemas.openxmlformats.org/officeDocument/2006/relationships/ctrlProp" Target="../ctrlProps/ctrlProp124.xml"/><Relationship Id="rId133" Type="http://schemas.openxmlformats.org/officeDocument/2006/relationships/ctrlProp" Target="../ctrlProps/ctrlProp145.xml"/><Relationship Id="rId154" Type="http://schemas.openxmlformats.org/officeDocument/2006/relationships/ctrlProp" Target="../ctrlProps/ctrlProp166.xml"/><Relationship Id="rId175" Type="http://schemas.openxmlformats.org/officeDocument/2006/relationships/ctrlProp" Target="../ctrlProps/ctrlProp187.xml"/><Relationship Id="rId196" Type="http://schemas.openxmlformats.org/officeDocument/2006/relationships/ctrlProp" Target="../ctrlProps/ctrlProp208.xml"/><Relationship Id="rId200" Type="http://schemas.openxmlformats.org/officeDocument/2006/relationships/ctrlProp" Target="../ctrlProps/ctrlProp212.xml"/><Relationship Id="rId16" Type="http://schemas.openxmlformats.org/officeDocument/2006/relationships/ctrlProp" Target="../ctrlProps/ctrlProp28.xml"/><Relationship Id="rId221" Type="http://schemas.openxmlformats.org/officeDocument/2006/relationships/ctrlProp" Target="../ctrlProps/ctrlProp233.xml"/><Relationship Id="rId242" Type="http://schemas.openxmlformats.org/officeDocument/2006/relationships/ctrlProp" Target="../ctrlProps/ctrlProp254.xml"/><Relationship Id="rId263" Type="http://schemas.openxmlformats.org/officeDocument/2006/relationships/ctrlProp" Target="../ctrlProps/ctrlProp275.xml"/><Relationship Id="rId284" Type="http://schemas.openxmlformats.org/officeDocument/2006/relationships/ctrlProp" Target="../ctrlProps/ctrlProp296.xml"/><Relationship Id="rId37" Type="http://schemas.openxmlformats.org/officeDocument/2006/relationships/ctrlProp" Target="../ctrlProps/ctrlProp49.xml"/><Relationship Id="rId58" Type="http://schemas.openxmlformats.org/officeDocument/2006/relationships/ctrlProp" Target="../ctrlProps/ctrlProp70.xml"/><Relationship Id="rId79" Type="http://schemas.openxmlformats.org/officeDocument/2006/relationships/ctrlProp" Target="../ctrlProps/ctrlProp91.xml"/><Relationship Id="rId102" Type="http://schemas.openxmlformats.org/officeDocument/2006/relationships/ctrlProp" Target="../ctrlProps/ctrlProp114.xml"/><Relationship Id="rId123" Type="http://schemas.openxmlformats.org/officeDocument/2006/relationships/ctrlProp" Target="../ctrlProps/ctrlProp135.xml"/><Relationship Id="rId144" Type="http://schemas.openxmlformats.org/officeDocument/2006/relationships/ctrlProp" Target="../ctrlProps/ctrlProp156.xml"/><Relationship Id="rId90" Type="http://schemas.openxmlformats.org/officeDocument/2006/relationships/ctrlProp" Target="../ctrlProps/ctrlProp102.xml"/><Relationship Id="rId165" Type="http://schemas.openxmlformats.org/officeDocument/2006/relationships/ctrlProp" Target="../ctrlProps/ctrlProp177.xml"/><Relationship Id="rId186" Type="http://schemas.openxmlformats.org/officeDocument/2006/relationships/ctrlProp" Target="../ctrlProps/ctrlProp198.xml"/><Relationship Id="rId211" Type="http://schemas.openxmlformats.org/officeDocument/2006/relationships/ctrlProp" Target="../ctrlProps/ctrlProp223.xml"/><Relationship Id="rId232" Type="http://schemas.openxmlformats.org/officeDocument/2006/relationships/ctrlProp" Target="../ctrlProps/ctrlProp244.xml"/><Relationship Id="rId253" Type="http://schemas.openxmlformats.org/officeDocument/2006/relationships/ctrlProp" Target="../ctrlProps/ctrlProp265.xml"/><Relationship Id="rId274" Type="http://schemas.openxmlformats.org/officeDocument/2006/relationships/ctrlProp" Target="../ctrlProps/ctrlProp286.xml"/><Relationship Id="rId295" Type="http://schemas.openxmlformats.org/officeDocument/2006/relationships/ctrlProp" Target="../ctrlProps/ctrlProp307.xml"/><Relationship Id="rId309" Type="http://schemas.openxmlformats.org/officeDocument/2006/relationships/ctrlProp" Target="../ctrlProps/ctrlProp321.xml"/><Relationship Id="rId27" Type="http://schemas.openxmlformats.org/officeDocument/2006/relationships/ctrlProp" Target="../ctrlProps/ctrlProp39.xml"/><Relationship Id="rId48" Type="http://schemas.openxmlformats.org/officeDocument/2006/relationships/ctrlProp" Target="../ctrlProps/ctrlProp60.xml"/><Relationship Id="rId69" Type="http://schemas.openxmlformats.org/officeDocument/2006/relationships/ctrlProp" Target="../ctrlProps/ctrlProp81.xml"/><Relationship Id="rId113" Type="http://schemas.openxmlformats.org/officeDocument/2006/relationships/ctrlProp" Target="../ctrlProps/ctrlProp125.xml"/><Relationship Id="rId134" Type="http://schemas.openxmlformats.org/officeDocument/2006/relationships/ctrlProp" Target="../ctrlProps/ctrlProp146.xml"/><Relationship Id="rId80" Type="http://schemas.openxmlformats.org/officeDocument/2006/relationships/ctrlProp" Target="../ctrlProps/ctrlProp92.xml"/><Relationship Id="rId155" Type="http://schemas.openxmlformats.org/officeDocument/2006/relationships/ctrlProp" Target="../ctrlProps/ctrlProp167.xml"/><Relationship Id="rId176" Type="http://schemas.openxmlformats.org/officeDocument/2006/relationships/ctrlProp" Target="../ctrlProps/ctrlProp188.xml"/><Relationship Id="rId197" Type="http://schemas.openxmlformats.org/officeDocument/2006/relationships/ctrlProp" Target="../ctrlProps/ctrlProp209.xml"/><Relationship Id="rId201" Type="http://schemas.openxmlformats.org/officeDocument/2006/relationships/ctrlProp" Target="../ctrlProps/ctrlProp213.xml"/><Relationship Id="rId222" Type="http://schemas.openxmlformats.org/officeDocument/2006/relationships/ctrlProp" Target="../ctrlProps/ctrlProp234.xml"/><Relationship Id="rId243" Type="http://schemas.openxmlformats.org/officeDocument/2006/relationships/ctrlProp" Target="../ctrlProps/ctrlProp255.xml"/><Relationship Id="rId264" Type="http://schemas.openxmlformats.org/officeDocument/2006/relationships/ctrlProp" Target="../ctrlProps/ctrlProp276.xml"/><Relationship Id="rId285" Type="http://schemas.openxmlformats.org/officeDocument/2006/relationships/ctrlProp" Target="../ctrlProps/ctrlProp297.xml"/><Relationship Id="rId17" Type="http://schemas.openxmlformats.org/officeDocument/2006/relationships/ctrlProp" Target="../ctrlProps/ctrlProp29.xml"/><Relationship Id="rId38" Type="http://schemas.openxmlformats.org/officeDocument/2006/relationships/ctrlProp" Target="../ctrlProps/ctrlProp50.xml"/><Relationship Id="rId59" Type="http://schemas.openxmlformats.org/officeDocument/2006/relationships/ctrlProp" Target="../ctrlProps/ctrlProp71.xml"/><Relationship Id="rId103" Type="http://schemas.openxmlformats.org/officeDocument/2006/relationships/ctrlProp" Target="../ctrlProps/ctrlProp115.xml"/><Relationship Id="rId124" Type="http://schemas.openxmlformats.org/officeDocument/2006/relationships/ctrlProp" Target="../ctrlProps/ctrlProp136.xml"/><Relationship Id="rId310" Type="http://schemas.openxmlformats.org/officeDocument/2006/relationships/ctrlProp" Target="../ctrlProps/ctrlProp322.xml"/><Relationship Id="rId70" Type="http://schemas.openxmlformats.org/officeDocument/2006/relationships/ctrlProp" Target="../ctrlProps/ctrlProp82.xml"/><Relationship Id="rId91" Type="http://schemas.openxmlformats.org/officeDocument/2006/relationships/ctrlProp" Target="../ctrlProps/ctrlProp103.xml"/><Relationship Id="rId145" Type="http://schemas.openxmlformats.org/officeDocument/2006/relationships/ctrlProp" Target="../ctrlProps/ctrlProp157.xml"/><Relationship Id="rId166" Type="http://schemas.openxmlformats.org/officeDocument/2006/relationships/ctrlProp" Target="../ctrlProps/ctrlProp178.xml"/><Relationship Id="rId187" Type="http://schemas.openxmlformats.org/officeDocument/2006/relationships/ctrlProp" Target="../ctrlProps/ctrlProp199.xml"/><Relationship Id="rId1" Type="http://schemas.openxmlformats.org/officeDocument/2006/relationships/printerSettings" Target="../printerSettings/printerSettings5.bin"/><Relationship Id="rId212" Type="http://schemas.openxmlformats.org/officeDocument/2006/relationships/ctrlProp" Target="../ctrlProps/ctrlProp224.xml"/><Relationship Id="rId233" Type="http://schemas.openxmlformats.org/officeDocument/2006/relationships/ctrlProp" Target="../ctrlProps/ctrlProp245.xml"/><Relationship Id="rId254" Type="http://schemas.openxmlformats.org/officeDocument/2006/relationships/ctrlProp" Target="../ctrlProps/ctrlProp266.xml"/><Relationship Id="rId28" Type="http://schemas.openxmlformats.org/officeDocument/2006/relationships/ctrlProp" Target="../ctrlProps/ctrlProp40.xml"/><Relationship Id="rId49" Type="http://schemas.openxmlformats.org/officeDocument/2006/relationships/ctrlProp" Target="../ctrlProps/ctrlProp61.xml"/><Relationship Id="rId114" Type="http://schemas.openxmlformats.org/officeDocument/2006/relationships/ctrlProp" Target="../ctrlProps/ctrlProp126.xml"/><Relationship Id="rId275" Type="http://schemas.openxmlformats.org/officeDocument/2006/relationships/ctrlProp" Target="../ctrlProps/ctrlProp287.xml"/><Relationship Id="rId296" Type="http://schemas.openxmlformats.org/officeDocument/2006/relationships/ctrlProp" Target="../ctrlProps/ctrlProp308.xml"/><Relationship Id="rId300" Type="http://schemas.openxmlformats.org/officeDocument/2006/relationships/ctrlProp" Target="../ctrlProps/ctrlProp312.xml"/><Relationship Id="rId60" Type="http://schemas.openxmlformats.org/officeDocument/2006/relationships/ctrlProp" Target="../ctrlProps/ctrlProp72.xml"/><Relationship Id="rId81" Type="http://schemas.openxmlformats.org/officeDocument/2006/relationships/ctrlProp" Target="../ctrlProps/ctrlProp93.xml"/><Relationship Id="rId135" Type="http://schemas.openxmlformats.org/officeDocument/2006/relationships/ctrlProp" Target="../ctrlProps/ctrlProp147.xml"/><Relationship Id="rId156" Type="http://schemas.openxmlformats.org/officeDocument/2006/relationships/ctrlProp" Target="../ctrlProps/ctrlProp168.xml"/><Relationship Id="rId177" Type="http://schemas.openxmlformats.org/officeDocument/2006/relationships/ctrlProp" Target="../ctrlProps/ctrlProp189.xml"/><Relationship Id="rId198" Type="http://schemas.openxmlformats.org/officeDocument/2006/relationships/ctrlProp" Target="../ctrlProps/ctrlProp210.xml"/><Relationship Id="rId202" Type="http://schemas.openxmlformats.org/officeDocument/2006/relationships/ctrlProp" Target="../ctrlProps/ctrlProp214.xml"/><Relationship Id="rId223" Type="http://schemas.openxmlformats.org/officeDocument/2006/relationships/ctrlProp" Target="../ctrlProps/ctrlProp235.xml"/><Relationship Id="rId244" Type="http://schemas.openxmlformats.org/officeDocument/2006/relationships/ctrlProp" Target="../ctrlProps/ctrlProp256.xml"/><Relationship Id="rId18" Type="http://schemas.openxmlformats.org/officeDocument/2006/relationships/ctrlProp" Target="../ctrlProps/ctrlProp30.xml"/><Relationship Id="rId39" Type="http://schemas.openxmlformats.org/officeDocument/2006/relationships/ctrlProp" Target="../ctrlProps/ctrlProp51.xml"/><Relationship Id="rId265" Type="http://schemas.openxmlformats.org/officeDocument/2006/relationships/ctrlProp" Target="../ctrlProps/ctrlProp277.xml"/><Relationship Id="rId286" Type="http://schemas.openxmlformats.org/officeDocument/2006/relationships/ctrlProp" Target="../ctrlProps/ctrlProp298.xml"/><Relationship Id="rId50" Type="http://schemas.openxmlformats.org/officeDocument/2006/relationships/ctrlProp" Target="../ctrlProps/ctrlProp62.xml"/><Relationship Id="rId104" Type="http://schemas.openxmlformats.org/officeDocument/2006/relationships/ctrlProp" Target="../ctrlProps/ctrlProp116.xml"/><Relationship Id="rId125" Type="http://schemas.openxmlformats.org/officeDocument/2006/relationships/ctrlProp" Target="../ctrlProps/ctrlProp137.xml"/><Relationship Id="rId146" Type="http://schemas.openxmlformats.org/officeDocument/2006/relationships/ctrlProp" Target="../ctrlProps/ctrlProp158.xml"/><Relationship Id="rId167" Type="http://schemas.openxmlformats.org/officeDocument/2006/relationships/ctrlProp" Target="../ctrlProps/ctrlProp179.xml"/><Relationship Id="rId188" Type="http://schemas.openxmlformats.org/officeDocument/2006/relationships/ctrlProp" Target="../ctrlProps/ctrlProp200.xml"/><Relationship Id="rId311" Type="http://schemas.openxmlformats.org/officeDocument/2006/relationships/ctrlProp" Target="../ctrlProps/ctrlProp323.xml"/><Relationship Id="rId71" Type="http://schemas.openxmlformats.org/officeDocument/2006/relationships/ctrlProp" Target="../ctrlProps/ctrlProp83.xml"/><Relationship Id="rId92" Type="http://schemas.openxmlformats.org/officeDocument/2006/relationships/ctrlProp" Target="../ctrlProps/ctrlProp104.xml"/><Relationship Id="rId213" Type="http://schemas.openxmlformats.org/officeDocument/2006/relationships/ctrlProp" Target="../ctrlProps/ctrlProp225.xml"/><Relationship Id="rId234" Type="http://schemas.openxmlformats.org/officeDocument/2006/relationships/ctrlProp" Target="../ctrlProps/ctrlProp246.xml"/><Relationship Id="rId2" Type="http://schemas.openxmlformats.org/officeDocument/2006/relationships/drawing" Target="../drawings/drawing2.xml"/><Relationship Id="rId29" Type="http://schemas.openxmlformats.org/officeDocument/2006/relationships/ctrlProp" Target="../ctrlProps/ctrlProp41.xml"/><Relationship Id="rId255" Type="http://schemas.openxmlformats.org/officeDocument/2006/relationships/ctrlProp" Target="../ctrlProps/ctrlProp267.xml"/><Relationship Id="rId276" Type="http://schemas.openxmlformats.org/officeDocument/2006/relationships/ctrlProp" Target="../ctrlProps/ctrlProp288.xml"/><Relationship Id="rId297" Type="http://schemas.openxmlformats.org/officeDocument/2006/relationships/ctrlProp" Target="../ctrlProps/ctrlProp309.xml"/><Relationship Id="rId40" Type="http://schemas.openxmlformats.org/officeDocument/2006/relationships/ctrlProp" Target="../ctrlProps/ctrlProp52.xml"/><Relationship Id="rId115" Type="http://schemas.openxmlformats.org/officeDocument/2006/relationships/ctrlProp" Target="../ctrlProps/ctrlProp127.xml"/><Relationship Id="rId136" Type="http://schemas.openxmlformats.org/officeDocument/2006/relationships/ctrlProp" Target="../ctrlProps/ctrlProp148.xml"/><Relationship Id="rId157" Type="http://schemas.openxmlformats.org/officeDocument/2006/relationships/ctrlProp" Target="../ctrlProps/ctrlProp169.xml"/><Relationship Id="rId178" Type="http://schemas.openxmlformats.org/officeDocument/2006/relationships/ctrlProp" Target="../ctrlProps/ctrlProp190.xml"/><Relationship Id="rId301" Type="http://schemas.openxmlformats.org/officeDocument/2006/relationships/ctrlProp" Target="../ctrlProps/ctrlProp313.xml"/><Relationship Id="rId61" Type="http://schemas.openxmlformats.org/officeDocument/2006/relationships/ctrlProp" Target="../ctrlProps/ctrlProp73.xml"/><Relationship Id="rId82" Type="http://schemas.openxmlformats.org/officeDocument/2006/relationships/ctrlProp" Target="../ctrlProps/ctrlProp94.xml"/><Relationship Id="rId199" Type="http://schemas.openxmlformats.org/officeDocument/2006/relationships/ctrlProp" Target="../ctrlProps/ctrlProp211.xml"/><Relationship Id="rId203" Type="http://schemas.openxmlformats.org/officeDocument/2006/relationships/ctrlProp" Target="../ctrlProps/ctrlProp215.xml"/><Relationship Id="rId19" Type="http://schemas.openxmlformats.org/officeDocument/2006/relationships/ctrlProp" Target="../ctrlProps/ctrlProp31.xml"/><Relationship Id="rId224" Type="http://schemas.openxmlformats.org/officeDocument/2006/relationships/ctrlProp" Target="../ctrlProps/ctrlProp236.xml"/><Relationship Id="rId245" Type="http://schemas.openxmlformats.org/officeDocument/2006/relationships/ctrlProp" Target="../ctrlProps/ctrlProp257.xml"/><Relationship Id="rId266" Type="http://schemas.openxmlformats.org/officeDocument/2006/relationships/ctrlProp" Target="../ctrlProps/ctrlProp278.xml"/><Relationship Id="rId287" Type="http://schemas.openxmlformats.org/officeDocument/2006/relationships/ctrlProp" Target="../ctrlProps/ctrlProp299.xml"/><Relationship Id="rId30" Type="http://schemas.openxmlformats.org/officeDocument/2006/relationships/ctrlProp" Target="../ctrlProps/ctrlProp42.xml"/><Relationship Id="rId105" Type="http://schemas.openxmlformats.org/officeDocument/2006/relationships/ctrlProp" Target="../ctrlProps/ctrlProp117.xml"/><Relationship Id="rId126" Type="http://schemas.openxmlformats.org/officeDocument/2006/relationships/ctrlProp" Target="../ctrlProps/ctrlProp138.xml"/><Relationship Id="rId147" Type="http://schemas.openxmlformats.org/officeDocument/2006/relationships/ctrlProp" Target="../ctrlProps/ctrlProp159.xml"/><Relationship Id="rId168" Type="http://schemas.openxmlformats.org/officeDocument/2006/relationships/ctrlProp" Target="../ctrlProps/ctrlProp180.xml"/><Relationship Id="rId312" Type="http://schemas.openxmlformats.org/officeDocument/2006/relationships/ctrlProp" Target="../ctrlProps/ctrlProp324.xml"/><Relationship Id="rId51" Type="http://schemas.openxmlformats.org/officeDocument/2006/relationships/ctrlProp" Target="../ctrlProps/ctrlProp63.xml"/><Relationship Id="rId72" Type="http://schemas.openxmlformats.org/officeDocument/2006/relationships/ctrlProp" Target="../ctrlProps/ctrlProp84.xml"/><Relationship Id="rId93" Type="http://schemas.openxmlformats.org/officeDocument/2006/relationships/ctrlProp" Target="../ctrlProps/ctrlProp105.xml"/><Relationship Id="rId189" Type="http://schemas.openxmlformats.org/officeDocument/2006/relationships/ctrlProp" Target="../ctrlProps/ctrlProp201.xml"/><Relationship Id="rId3" Type="http://schemas.openxmlformats.org/officeDocument/2006/relationships/vmlDrawing" Target="../drawings/vmlDrawing3.vml"/><Relationship Id="rId214" Type="http://schemas.openxmlformats.org/officeDocument/2006/relationships/ctrlProp" Target="../ctrlProps/ctrlProp226.xml"/><Relationship Id="rId235" Type="http://schemas.openxmlformats.org/officeDocument/2006/relationships/ctrlProp" Target="../ctrlProps/ctrlProp247.xml"/><Relationship Id="rId256" Type="http://schemas.openxmlformats.org/officeDocument/2006/relationships/ctrlProp" Target="../ctrlProps/ctrlProp268.xml"/><Relationship Id="rId277" Type="http://schemas.openxmlformats.org/officeDocument/2006/relationships/ctrlProp" Target="../ctrlProps/ctrlProp289.xml"/><Relationship Id="rId298" Type="http://schemas.openxmlformats.org/officeDocument/2006/relationships/ctrlProp" Target="../ctrlProps/ctrlProp310.xml"/><Relationship Id="rId116" Type="http://schemas.openxmlformats.org/officeDocument/2006/relationships/ctrlProp" Target="../ctrlProps/ctrlProp128.xml"/><Relationship Id="rId137" Type="http://schemas.openxmlformats.org/officeDocument/2006/relationships/ctrlProp" Target="../ctrlProps/ctrlProp149.xml"/><Relationship Id="rId158" Type="http://schemas.openxmlformats.org/officeDocument/2006/relationships/ctrlProp" Target="../ctrlProps/ctrlProp170.xml"/><Relationship Id="rId302" Type="http://schemas.openxmlformats.org/officeDocument/2006/relationships/ctrlProp" Target="../ctrlProps/ctrlProp314.xml"/><Relationship Id="rId20" Type="http://schemas.openxmlformats.org/officeDocument/2006/relationships/ctrlProp" Target="../ctrlProps/ctrlProp32.xml"/><Relationship Id="rId41" Type="http://schemas.openxmlformats.org/officeDocument/2006/relationships/ctrlProp" Target="../ctrlProps/ctrlProp53.xml"/><Relationship Id="rId62" Type="http://schemas.openxmlformats.org/officeDocument/2006/relationships/ctrlProp" Target="../ctrlProps/ctrlProp74.xml"/><Relationship Id="rId83" Type="http://schemas.openxmlformats.org/officeDocument/2006/relationships/ctrlProp" Target="../ctrlProps/ctrlProp95.xml"/><Relationship Id="rId179" Type="http://schemas.openxmlformats.org/officeDocument/2006/relationships/ctrlProp" Target="../ctrlProps/ctrlProp191.xml"/><Relationship Id="rId190" Type="http://schemas.openxmlformats.org/officeDocument/2006/relationships/ctrlProp" Target="../ctrlProps/ctrlProp202.xml"/><Relationship Id="rId204" Type="http://schemas.openxmlformats.org/officeDocument/2006/relationships/ctrlProp" Target="../ctrlProps/ctrlProp216.xml"/><Relationship Id="rId225" Type="http://schemas.openxmlformats.org/officeDocument/2006/relationships/ctrlProp" Target="../ctrlProps/ctrlProp237.xml"/><Relationship Id="rId246" Type="http://schemas.openxmlformats.org/officeDocument/2006/relationships/ctrlProp" Target="../ctrlProps/ctrlProp258.xml"/><Relationship Id="rId267" Type="http://schemas.openxmlformats.org/officeDocument/2006/relationships/ctrlProp" Target="../ctrlProps/ctrlProp279.xml"/><Relationship Id="rId288" Type="http://schemas.openxmlformats.org/officeDocument/2006/relationships/ctrlProp" Target="../ctrlProps/ctrlProp300.xml"/><Relationship Id="rId106" Type="http://schemas.openxmlformats.org/officeDocument/2006/relationships/ctrlProp" Target="../ctrlProps/ctrlProp118.xml"/><Relationship Id="rId127" Type="http://schemas.openxmlformats.org/officeDocument/2006/relationships/ctrlProp" Target="../ctrlProps/ctrlProp139.xml"/><Relationship Id="rId313" Type="http://schemas.openxmlformats.org/officeDocument/2006/relationships/ctrlProp" Target="../ctrlProps/ctrlProp325.xml"/><Relationship Id="rId10" Type="http://schemas.openxmlformats.org/officeDocument/2006/relationships/ctrlProp" Target="../ctrlProps/ctrlProp22.xml"/><Relationship Id="rId31" Type="http://schemas.openxmlformats.org/officeDocument/2006/relationships/ctrlProp" Target="../ctrlProps/ctrlProp43.xml"/><Relationship Id="rId52" Type="http://schemas.openxmlformats.org/officeDocument/2006/relationships/ctrlProp" Target="../ctrlProps/ctrlProp64.xml"/><Relationship Id="rId73" Type="http://schemas.openxmlformats.org/officeDocument/2006/relationships/ctrlProp" Target="../ctrlProps/ctrlProp85.xml"/><Relationship Id="rId94" Type="http://schemas.openxmlformats.org/officeDocument/2006/relationships/ctrlProp" Target="../ctrlProps/ctrlProp106.xml"/><Relationship Id="rId148" Type="http://schemas.openxmlformats.org/officeDocument/2006/relationships/ctrlProp" Target="../ctrlProps/ctrlProp160.xml"/><Relationship Id="rId169" Type="http://schemas.openxmlformats.org/officeDocument/2006/relationships/ctrlProp" Target="../ctrlProps/ctrlProp181.xml"/><Relationship Id="rId4" Type="http://schemas.openxmlformats.org/officeDocument/2006/relationships/ctrlProp" Target="../ctrlProps/ctrlProp16.xml"/><Relationship Id="rId180" Type="http://schemas.openxmlformats.org/officeDocument/2006/relationships/ctrlProp" Target="../ctrlProps/ctrlProp192.xml"/><Relationship Id="rId215" Type="http://schemas.openxmlformats.org/officeDocument/2006/relationships/ctrlProp" Target="../ctrlProps/ctrlProp227.xml"/><Relationship Id="rId236" Type="http://schemas.openxmlformats.org/officeDocument/2006/relationships/ctrlProp" Target="../ctrlProps/ctrlProp248.xml"/><Relationship Id="rId257" Type="http://schemas.openxmlformats.org/officeDocument/2006/relationships/ctrlProp" Target="../ctrlProps/ctrlProp269.xml"/><Relationship Id="rId278" Type="http://schemas.openxmlformats.org/officeDocument/2006/relationships/ctrlProp" Target="../ctrlProps/ctrlProp290.xml"/><Relationship Id="rId303" Type="http://schemas.openxmlformats.org/officeDocument/2006/relationships/ctrlProp" Target="../ctrlProps/ctrlProp315.xml"/><Relationship Id="rId42" Type="http://schemas.openxmlformats.org/officeDocument/2006/relationships/ctrlProp" Target="../ctrlProps/ctrlProp54.xml"/><Relationship Id="rId84" Type="http://schemas.openxmlformats.org/officeDocument/2006/relationships/ctrlProp" Target="../ctrlProps/ctrlProp96.xml"/><Relationship Id="rId138" Type="http://schemas.openxmlformats.org/officeDocument/2006/relationships/ctrlProp" Target="../ctrlProps/ctrlProp150.xml"/><Relationship Id="rId191" Type="http://schemas.openxmlformats.org/officeDocument/2006/relationships/ctrlProp" Target="../ctrlProps/ctrlProp203.xml"/><Relationship Id="rId205" Type="http://schemas.openxmlformats.org/officeDocument/2006/relationships/ctrlProp" Target="../ctrlProps/ctrlProp217.xml"/><Relationship Id="rId247" Type="http://schemas.openxmlformats.org/officeDocument/2006/relationships/ctrlProp" Target="../ctrlProps/ctrlProp259.xml"/><Relationship Id="rId107" Type="http://schemas.openxmlformats.org/officeDocument/2006/relationships/ctrlProp" Target="../ctrlProps/ctrlProp119.xml"/><Relationship Id="rId289" Type="http://schemas.openxmlformats.org/officeDocument/2006/relationships/ctrlProp" Target="../ctrlProps/ctrlProp301.xml"/><Relationship Id="rId11" Type="http://schemas.openxmlformats.org/officeDocument/2006/relationships/ctrlProp" Target="../ctrlProps/ctrlProp23.xml"/><Relationship Id="rId53" Type="http://schemas.openxmlformats.org/officeDocument/2006/relationships/ctrlProp" Target="../ctrlProps/ctrlProp65.xml"/><Relationship Id="rId149" Type="http://schemas.openxmlformats.org/officeDocument/2006/relationships/ctrlProp" Target="../ctrlProps/ctrlProp161.xml"/><Relationship Id="rId314" Type="http://schemas.openxmlformats.org/officeDocument/2006/relationships/ctrlProp" Target="../ctrlProps/ctrlProp326.xml"/><Relationship Id="rId95" Type="http://schemas.openxmlformats.org/officeDocument/2006/relationships/ctrlProp" Target="../ctrlProps/ctrlProp107.xml"/><Relationship Id="rId160" Type="http://schemas.openxmlformats.org/officeDocument/2006/relationships/ctrlProp" Target="../ctrlProps/ctrlProp172.xml"/><Relationship Id="rId216" Type="http://schemas.openxmlformats.org/officeDocument/2006/relationships/ctrlProp" Target="../ctrlProps/ctrlProp228.xml"/><Relationship Id="rId258" Type="http://schemas.openxmlformats.org/officeDocument/2006/relationships/ctrlProp" Target="../ctrlProps/ctrlProp270.xml"/><Relationship Id="rId22" Type="http://schemas.openxmlformats.org/officeDocument/2006/relationships/ctrlProp" Target="../ctrlProps/ctrlProp34.xml"/><Relationship Id="rId64" Type="http://schemas.openxmlformats.org/officeDocument/2006/relationships/ctrlProp" Target="../ctrlProps/ctrlProp76.xml"/><Relationship Id="rId118" Type="http://schemas.openxmlformats.org/officeDocument/2006/relationships/ctrlProp" Target="../ctrlProps/ctrlProp130.xml"/><Relationship Id="rId171" Type="http://schemas.openxmlformats.org/officeDocument/2006/relationships/ctrlProp" Target="../ctrlProps/ctrlProp183.xml"/><Relationship Id="rId227" Type="http://schemas.openxmlformats.org/officeDocument/2006/relationships/ctrlProp" Target="../ctrlProps/ctrlProp239.xml"/><Relationship Id="rId269" Type="http://schemas.openxmlformats.org/officeDocument/2006/relationships/ctrlProp" Target="../ctrlProps/ctrlProp281.xml"/><Relationship Id="rId33" Type="http://schemas.openxmlformats.org/officeDocument/2006/relationships/ctrlProp" Target="../ctrlProps/ctrlProp45.xml"/><Relationship Id="rId129" Type="http://schemas.openxmlformats.org/officeDocument/2006/relationships/ctrlProp" Target="../ctrlProps/ctrlProp141.xml"/><Relationship Id="rId280" Type="http://schemas.openxmlformats.org/officeDocument/2006/relationships/ctrlProp" Target="../ctrlProps/ctrlProp292.xml"/><Relationship Id="rId75" Type="http://schemas.openxmlformats.org/officeDocument/2006/relationships/ctrlProp" Target="../ctrlProps/ctrlProp87.xml"/><Relationship Id="rId140" Type="http://schemas.openxmlformats.org/officeDocument/2006/relationships/ctrlProp" Target="../ctrlProps/ctrlProp152.xml"/><Relationship Id="rId182" Type="http://schemas.openxmlformats.org/officeDocument/2006/relationships/ctrlProp" Target="../ctrlProps/ctrlProp194.xml"/><Relationship Id="rId6" Type="http://schemas.openxmlformats.org/officeDocument/2006/relationships/ctrlProp" Target="../ctrlProps/ctrlProp18.xml"/><Relationship Id="rId238" Type="http://schemas.openxmlformats.org/officeDocument/2006/relationships/ctrlProp" Target="../ctrlProps/ctrlProp250.xml"/><Relationship Id="rId291" Type="http://schemas.openxmlformats.org/officeDocument/2006/relationships/ctrlProp" Target="../ctrlProps/ctrlProp303.xml"/><Relationship Id="rId305" Type="http://schemas.openxmlformats.org/officeDocument/2006/relationships/ctrlProp" Target="../ctrlProps/ctrlProp317.xml"/><Relationship Id="rId44" Type="http://schemas.openxmlformats.org/officeDocument/2006/relationships/ctrlProp" Target="../ctrlProps/ctrlProp56.xml"/><Relationship Id="rId86" Type="http://schemas.openxmlformats.org/officeDocument/2006/relationships/ctrlProp" Target="../ctrlProps/ctrlProp98.xml"/><Relationship Id="rId151" Type="http://schemas.openxmlformats.org/officeDocument/2006/relationships/ctrlProp" Target="../ctrlProps/ctrlProp16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T181"/>
  <sheetViews>
    <sheetView tabSelected="1" zoomScaleNormal="100" workbookViewId="0"/>
  </sheetViews>
  <sheetFormatPr baseColWidth="10" defaultColWidth="11.453125" defaultRowHeight="12.5" x14ac:dyDescent="0.25"/>
  <cols>
    <col min="1" max="2" width="2.7265625" style="386" customWidth="1"/>
    <col min="3" max="3" width="15.7265625" style="386" customWidth="1"/>
    <col min="4" max="7" width="11.7265625" style="386" customWidth="1"/>
    <col min="8" max="8" width="2.7265625" style="386" customWidth="1"/>
    <col min="9" max="9" width="15.7265625" style="386" customWidth="1"/>
    <col min="10" max="10" width="11.7265625" style="386" customWidth="1"/>
    <col min="11" max="11" width="11.7265625" style="635" customWidth="1"/>
    <col min="12" max="13" width="11.7265625" style="386" customWidth="1"/>
    <col min="14" max="14" width="2.54296875" style="386" customWidth="1"/>
    <col min="15" max="15" width="5" style="386" customWidth="1"/>
    <col min="16" max="16" width="14.7265625" style="386" customWidth="1"/>
    <col min="17" max="18" width="11.453125" style="386"/>
    <col min="19" max="19" width="10.7265625" style="386" customWidth="1"/>
    <col min="20" max="16384" width="11.453125" style="386"/>
  </cols>
  <sheetData>
    <row r="1" spans="1:20" x14ac:dyDescent="0.25">
      <c r="A1" s="157"/>
      <c r="B1" s="158"/>
      <c r="C1" s="158"/>
      <c r="D1" s="158"/>
      <c r="E1" s="158"/>
      <c r="F1" s="158"/>
      <c r="G1" s="158"/>
      <c r="H1" s="158"/>
      <c r="I1" s="158"/>
      <c r="J1" s="158"/>
      <c r="K1" s="387"/>
      <c r="L1" s="158"/>
      <c r="M1" s="158"/>
      <c r="N1" s="158"/>
      <c r="O1" s="158"/>
      <c r="P1" s="385"/>
      <c r="Q1" s="385"/>
      <c r="R1" s="385"/>
      <c r="S1" s="385"/>
      <c r="T1" s="385"/>
    </row>
    <row r="2" spans="1:20" x14ac:dyDescent="0.25">
      <c r="A2" s="158"/>
      <c r="B2" s="158"/>
      <c r="C2" s="158"/>
      <c r="D2" s="158"/>
      <c r="E2" s="158"/>
      <c r="F2" s="158"/>
      <c r="G2" s="158"/>
      <c r="H2" s="158"/>
      <c r="I2" s="158"/>
      <c r="J2" s="158"/>
      <c r="K2" s="387"/>
      <c r="L2" s="158"/>
      <c r="M2" s="158"/>
      <c r="N2" s="158"/>
      <c r="O2" s="158"/>
      <c r="P2" s="385"/>
      <c r="Q2" s="385"/>
      <c r="R2" s="385"/>
      <c r="S2" s="385"/>
      <c r="T2" s="385"/>
    </row>
    <row r="3" spans="1:20" x14ac:dyDescent="0.25">
      <c r="A3" s="158"/>
      <c r="B3" s="158"/>
      <c r="C3" s="158"/>
      <c r="D3" s="158"/>
      <c r="E3" s="158"/>
      <c r="F3" s="158"/>
      <c r="G3" s="158"/>
      <c r="H3" s="158"/>
      <c r="I3" s="158"/>
      <c r="J3" s="158"/>
      <c r="K3" s="387"/>
      <c r="L3" s="158"/>
      <c r="M3" s="158"/>
      <c r="N3" s="158"/>
      <c r="O3" s="158"/>
      <c r="P3" s="385"/>
      <c r="Q3" s="385"/>
      <c r="R3" s="385"/>
      <c r="S3" s="385"/>
      <c r="T3" s="385"/>
    </row>
    <row r="4" spans="1:20" x14ac:dyDescent="0.25">
      <c r="A4" s="158"/>
      <c r="B4" s="158"/>
      <c r="C4" s="158"/>
      <c r="D4" s="158"/>
      <c r="E4" s="158"/>
      <c r="F4" s="158"/>
      <c r="G4" s="158"/>
      <c r="H4" s="158"/>
      <c r="I4" s="158"/>
      <c r="J4" s="158"/>
      <c r="K4" s="387"/>
      <c r="L4" s="158"/>
      <c r="M4" s="158"/>
      <c r="N4" s="158"/>
      <c r="O4" s="158"/>
      <c r="P4" s="385"/>
      <c r="Q4" s="385"/>
      <c r="R4" s="385"/>
      <c r="S4" s="385"/>
      <c r="T4" s="385"/>
    </row>
    <row r="5" spans="1:20" x14ac:dyDescent="0.25">
      <c r="A5" s="158"/>
      <c r="B5" s="158"/>
      <c r="C5" s="158"/>
      <c r="D5" s="158"/>
      <c r="E5" s="158"/>
      <c r="F5" s="158"/>
      <c r="G5" s="158"/>
      <c r="H5" s="158"/>
      <c r="I5" s="158"/>
      <c r="J5" s="158"/>
      <c r="K5" s="387"/>
      <c r="L5" s="158"/>
      <c r="M5" s="158"/>
      <c r="N5" s="158"/>
      <c r="O5" s="158"/>
      <c r="P5" s="385"/>
      <c r="Q5" s="385"/>
      <c r="R5" s="385"/>
      <c r="S5" s="385"/>
      <c r="T5" s="385"/>
    </row>
    <row r="6" spans="1:20" x14ac:dyDescent="0.25">
      <c r="A6" s="158"/>
      <c r="B6" s="158"/>
      <c r="C6" s="158"/>
      <c r="D6" s="158"/>
      <c r="E6" s="158"/>
      <c r="F6" s="158"/>
      <c r="G6" s="158"/>
      <c r="H6" s="158"/>
      <c r="I6" s="158"/>
      <c r="J6" s="158"/>
      <c r="K6" s="387"/>
      <c r="L6" s="158"/>
      <c r="M6" s="158"/>
      <c r="N6" s="158"/>
      <c r="O6" s="158"/>
      <c r="P6" s="385"/>
      <c r="Q6" s="385"/>
      <c r="R6" s="385"/>
      <c r="S6" s="385"/>
      <c r="T6" s="385"/>
    </row>
    <row r="7" spans="1:20" x14ac:dyDescent="0.25">
      <c r="A7" s="158"/>
      <c r="B7" s="158"/>
      <c r="C7" s="158"/>
      <c r="D7" s="158"/>
      <c r="E7" s="158"/>
      <c r="F7" s="158"/>
      <c r="G7" s="158"/>
      <c r="H7" s="158"/>
      <c r="I7" s="158"/>
      <c r="J7" s="158"/>
      <c r="K7" s="387"/>
      <c r="L7" s="158"/>
      <c r="M7" s="158"/>
      <c r="N7" s="158"/>
      <c r="O7" s="158"/>
      <c r="P7" s="385"/>
      <c r="Q7" s="385"/>
      <c r="R7" s="385"/>
      <c r="S7" s="385"/>
      <c r="T7" s="385"/>
    </row>
    <row r="8" spans="1:20" x14ac:dyDescent="0.25">
      <c r="A8" s="158"/>
      <c r="B8" s="158"/>
      <c r="C8" s="158"/>
      <c r="D8" s="158"/>
      <c r="E8" s="158"/>
      <c r="F8" s="158"/>
      <c r="G8" s="158"/>
      <c r="H8" s="158"/>
      <c r="I8" s="158"/>
      <c r="J8" s="158"/>
      <c r="K8" s="387"/>
      <c r="L8" s="158"/>
      <c r="M8" s="158"/>
      <c r="N8" s="158"/>
      <c r="O8" s="158"/>
      <c r="P8" s="385"/>
      <c r="Q8" s="385"/>
      <c r="R8" s="385"/>
      <c r="S8" s="385"/>
      <c r="T8" s="385"/>
    </row>
    <row r="9" spans="1:20" ht="13" x14ac:dyDescent="0.3">
      <c r="A9" s="158"/>
      <c r="B9" s="576"/>
      <c r="C9" s="792"/>
      <c r="D9" s="792"/>
      <c r="E9" s="792"/>
      <c r="F9" s="792"/>
      <c r="G9" s="792"/>
      <c r="H9" s="792"/>
      <c r="I9" s="792"/>
      <c r="J9" s="792"/>
      <c r="K9" s="792"/>
      <c r="L9" s="792"/>
      <c r="M9" s="792"/>
      <c r="N9" s="577"/>
      <c r="O9" s="158"/>
    </row>
    <row r="10" spans="1:20" ht="13" x14ac:dyDescent="0.3">
      <c r="A10" s="158"/>
      <c r="B10" s="553"/>
      <c r="C10" s="584"/>
      <c r="D10" s="584"/>
      <c r="E10" s="584"/>
      <c r="F10" s="802" t="str">
        <f>IF(SelectionTables!$D$16=1,HYPERLINK("https://www.lancom-systems.de/fileadmin/download/documentation/manuals/Antennen-Distanz-Kalkulator_DE.pdf","Anleitung zum Antennen-Distanz-Kalkulator"),HYPERLINK("https://www.lancom-systems.de/fileadmin/download/documentation/manuals/Antenna-distance-calculator_EN.pdf
","Manual for Antenna-Distance-Calculator"))</f>
        <v>Manual for Antenna-Distance-Calculator</v>
      </c>
      <c r="G10" s="802"/>
      <c r="H10" s="802"/>
      <c r="I10" s="802"/>
      <c r="J10" s="584"/>
      <c r="K10" s="584"/>
      <c r="L10" s="584"/>
      <c r="M10" s="584"/>
      <c r="N10" s="555"/>
      <c r="O10" s="158"/>
    </row>
    <row r="11" spans="1:20" s="635" customFormat="1" ht="13" thickBot="1" x14ac:dyDescent="0.3">
      <c r="A11" s="387"/>
      <c r="B11" s="592"/>
      <c r="C11" s="584"/>
      <c r="D11" s="584"/>
      <c r="E11" s="584"/>
      <c r="F11" s="584"/>
      <c r="G11" s="584"/>
      <c r="H11" s="584"/>
      <c r="I11" s="584"/>
      <c r="J11" s="584"/>
      <c r="K11" s="584"/>
      <c r="L11" s="584"/>
      <c r="M11" s="584"/>
      <c r="N11" s="593"/>
      <c r="O11" s="387"/>
    </row>
    <row r="12" spans="1:20" s="635" customFormat="1" ht="26" thickTop="1" thickBot="1" x14ac:dyDescent="0.55000000000000004">
      <c r="A12" s="387"/>
      <c r="B12" s="637"/>
      <c r="C12" s="755"/>
      <c r="D12" s="789" t="str">
        <f>LanguageTable!B19</f>
        <v>Location</v>
      </c>
      <c r="E12" s="790" t="s">
        <v>158</v>
      </c>
      <c r="F12" s="828" t="str">
        <f>LanguageTable!B20&amp;" 3.80"</f>
        <v>Version 3.80</v>
      </c>
      <c r="G12" s="829"/>
      <c r="H12" s="829"/>
      <c r="I12" s="830"/>
      <c r="J12" s="789" t="str">
        <f>LanguageTable!B19</f>
        <v>Location</v>
      </c>
      <c r="K12" s="790" t="s">
        <v>159</v>
      </c>
      <c r="L12" s="791"/>
      <c r="M12" s="791"/>
      <c r="N12" s="593"/>
      <c r="O12" s="387"/>
    </row>
    <row r="13" spans="1:20" s="635" customFormat="1" ht="12.75" customHeight="1" thickTop="1" x14ac:dyDescent="0.25">
      <c r="A13" s="387"/>
      <c r="B13" s="592"/>
      <c r="C13" s="554"/>
      <c r="D13" s="554"/>
      <c r="E13" s="554"/>
      <c r="F13" s="554"/>
      <c r="G13" s="578"/>
      <c r="H13" s="579"/>
      <c r="I13" s="554"/>
      <c r="J13" s="554"/>
      <c r="K13" s="554"/>
      <c r="L13" s="554"/>
      <c r="M13" s="554"/>
      <c r="N13" s="593"/>
      <c r="O13" s="387"/>
    </row>
    <row r="14" spans="1:20" s="635" customFormat="1" ht="12.75" customHeight="1" x14ac:dyDescent="0.4">
      <c r="A14" s="387"/>
      <c r="B14" s="592"/>
      <c r="C14" s="580" t="str">
        <f>LanguageTable!B11</f>
        <v>Access point / client adapter:</v>
      </c>
      <c r="D14" s="580"/>
      <c r="E14" s="554"/>
      <c r="F14" s="554"/>
      <c r="G14" s="554"/>
      <c r="H14" s="589"/>
      <c r="I14" s="580" t="str">
        <f>LanguageTable!B11</f>
        <v>Access point / client adapter:</v>
      </c>
      <c r="J14" s="580"/>
      <c r="K14" s="554"/>
      <c r="L14" s="554"/>
      <c r="M14" s="554"/>
      <c r="N14" s="593"/>
      <c r="O14" s="387"/>
    </row>
    <row r="15" spans="1:20" s="635" customFormat="1" ht="12.75" customHeight="1" x14ac:dyDescent="0.4">
      <c r="A15" s="387"/>
      <c r="B15" s="592"/>
      <c r="C15" s="581"/>
      <c r="D15" s="581"/>
      <c r="E15" s="554"/>
      <c r="F15" s="554"/>
      <c r="G15" s="554"/>
      <c r="H15" s="589"/>
      <c r="I15" s="581" t="str">
        <f ca="1">IF(Errorhandling!D5,Errorhandling!E5,"")</f>
        <v/>
      </c>
      <c r="J15" s="580"/>
      <c r="K15" s="554"/>
      <c r="L15" s="554"/>
      <c r="M15" s="554"/>
      <c r="N15" s="593"/>
      <c r="O15" s="387"/>
    </row>
    <row r="16" spans="1:20" s="635" customFormat="1" ht="12.75" customHeight="1" x14ac:dyDescent="0.4">
      <c r="A16" s="387"/>
      <c r="B16" s="592"/>
      <c r="C16" s="580" t="str">
        <f>LanguageTable!B12</f>
        <v>Wi-Fi chipset:</v>
      </c>
      <c r="D16" s="582"/>
      <c r="E16" s="554"/>
      <c r="F16" s="554"/>
      <c r="G16" s="554"/>
      <c r="H16" s="589"/>
      <c r="I16" s="580" t="str">
        <f>LanguageTable!B12</f>
        <v>Wi-Fi chipset:</v>
      </c>
      <c r="J16" s="581"/>
      <c r="K16" s="554"/>
      <c r="L16" s="554"/>
      <c r="M16" s="554"/>
      <c r="N16" s="593"/>
      <c r="O16" s="387"/>
    </row>
    <row r="17" spans="1:15" s="635" customFormat="1" ht="12.75" customHeight="1" x14ac:dyDescent="0.4">
      <c r="A17" s="387"/>
      <c r="B17" s="592"/>
      <c r="C17" s="581" t="str">
        <f ca="1">IF(Errorhandling!C3,Errorhandling!E3,"")</f>
        <v/>
      </c>
      <c r="D17" s="799" t="str">
        <f>LanguageTable!B21</f>
        <v>Help</v>
      </c>
      <c r="E17" s="554"/>
      <c r="F17" s="554"/>
      <c r="G17" s="554"/>
      <c r="H17" s="589"/>
      <c r="I17" s="581" t="str">
        <f ca="1">IF(Errorhandling!D3,Errorhandling!E3,"")</f>
        <v/>
      </c>
      <c r="J17" s="799" t="str">
        <f>LanguageTable!B21</f>
        <v>Help</v>
      </c>
      <c r="K17" s="554"/>
      <c r="L17" s="554"/>
      <c r="M17" s="554"/>
      <c r="N17" s="593"/>
      <c r="O17" s="387"/>
    </row>
    <row r="18" spans="1:15" s="635" customFormat="1" ht="12.75" customHeight="1" x14ac:dyDescent="0.4">
      <c r="A18" s="387"/>
      <c r="B18" s="592"/>
      <c r="C18" s="580" t="str">
        <f>LanguageTable!B13</f>
        <v>Wi-Fi standard:</v>
      </c>
      <c r="D18" s="580"/>
      <c r="E18" s="554"/>
      <c r="F18" s="554"/>
      <c r="G18" s="554"/>
      <c r="H18" s="589"/>
      <c r="I18" s="580" t="str">
        <f>LanguageTable!B13</f>
        <v>Wi-Fi standard:</v>
      </c>
      <c r="J18" s="580"/>
      <c r="K18" s="583" t="str">
        <f ca="1">SelectionTables!G4</f>
        <v>802.11ac (5 GHz)</v>
      </c>
      <c r="L18" s="583"/>
      <c r="M18" s="580"/>
      <c r="N18" s="593"/>
      <c r="O18" s="387"/>
    </row>
    <row r="19" spans="1:15" s="635" customFormat="1" ht="12.75" customHeight="1" x14ac:dyDescent="0.4">
      <c r="A19" s="387"/>
      <c r="B19" s="592"/>
      <c r="C19" s="581" t="str">
        <f ca="1">IF(Errorhandling!C4,Errorhandling!E4,"")</f>
        <v/>
      </c>
      <c r="D19" s="581"/>
      <c r="E19" s="554"/>
      <c r="F19" s="554"/>
      <c r="G19" s="554"/>
      <c r="H19" s="589"/>
      <c r="I19" s="581"/>
      <c r="J19" s="581"/>
      <c r="K19" s="554"/>
      <c r="L19" s="554"/>
      <c r="M19" s="554"/>
      <c r="N19" s="593"/>
      <c r="O19" s="387"/>
    </row>
    <row r="20" spans="1:15" s="635" customFormat="1" ht="12.75" customHeight="1" x14ac:dyDescent="0.4">
      <c r="A20" s="387"/>
      <c r="B20" s="592"/>
      <c r="C20" s="580" t="str">
        <f>LanguageTable!B14</f>
        <v>Antenna:</v>
      </c>
      <c r="D20" s="580"/>
      <c r="E20" s="554"/>
      <c r="F20" s="554"/>
      <c r="G20" s="554"/>
      <c r="H20" s="589"/>
      <c r="I20" s="580" t="str">
        <f>LanguageTable!B14</f>
        <v>Antenna:</v>
      </c>
      <c r="J20" s="580"/>
      <c r="K20" s="554"/>
      <c r="L20" s="554"/>
      <c r="M20" s="554"/>
      <c r="N20" s="593"/>
      <c r="O20" s="387"/>
    </row>
    <row r="21" spans="1:15" s="635" customFormat="1" ht="12.75" customHeight="1" x14ac:dyDescent="0.4">
      <c r="A21" s="387"/>
      <c r="B21" s="592"/>
      <c r="C21" s="584"/>
      <c r="D21" s="585" t="str">
        <f ca="1">IF(Errorhandling!C21,Errorhandling!E21,"")</f>
        <v/>
      </c>
      <c r="E21" s="586">
        <v>18</v>
      </c>
      <c r="F21" s="554" t="str">
        <f ca="1">IF(G21=1,"dBi","")</f>
        <v/>
      </c>
      <c r="G21" s="587">
        <f ca="1">IF(Errorhandling!C21,1,0)</f>
        <v>0</v>
      </c>
      <c r="H21" s="589"/>
      <c r="I21" s="584"/>
      <c r="J21" s="585" t="str">
        <f ca="1">IF(Errorhandling!C21,Errorhandling!E21,"")</f>
        <v/>
      </c>
      <c r="K21" s="586">
        <v>18</v>
      </c>
      <c r="L21" s="554" t="str">
        <f ca="1">IF(M21=1,"dBi","")</f>
        <v/>
      </c>
      <c r="M21" s="587">
        <f ca="1">IF(Errorhandling!D21,1,0)</f>
        <v>0</v>
      </c>
      <c r="N21" s="593"/>
      <c r="O21" s="387"/>
    </row>
    <row r="22" spans="1:15" s="635" customFormat="1" ht="21.75" customHeight="1" x14ac:dyDescent="0.4">
      <c r="A22" s="387"/>
      <c r="B22" s="592"/>
      <c r="C22" s="584"/>
      <c r="D22" s="588"/>
      <c r="E22" s="554"/>
      <c r="F22" s="554"/>
      <c r="G22" s="554"/>
      <c r="H22" s="589"/>
      <c r="I22" s="584"/>
      <c r="J22" s="588"/>
      <c r="K22" s="554"/>
      <c r="L22" s="554"/>
      <c r="M22" s="554"/>
      <c r="N22" s="593"/>
      <c r="O22" s="387"/>
    </row>
    <row r="23" spans="1:15" s="635" customFormat="1" ht="12.75" customHeight="1" x14ac:dyDescent="0.4">
      <c r="A23" s="387"/>
      <c r="B23" s="592"/>
      <c r="C23" s="554"/>
      <c r="D23" s="636"/>
      <c r="E23" s="554"/>
      <c r="F23" s="554"/>
      <c r="G23" s="554"/>
      <c r="H23" s="589"/>
      <c r="I23" s="554"/>
      <c r="J23" s="554"/>
      <c r="K23" s="554"/>
      <c r="L23" s="554"/>
      <c r="M23" s="554"/>
      <c r="N23" s="593"/>
      <c r="O23" s="387"/>
    </row>
    <row r="24" spans="1:15" s="635" customFormat="1" ht="12.75" customHeight="1" x14ac:dyDescent="0.4">
      <c r="A24" s="387"/>
      <c r="B24" s="592"/>
      <c r="C24" s="580" t="str">
        <f>LanguageTable!B15</f>
        <v>Cable 1:</v>
      </c>
      <c r="D24" s="580"/>
      <c r="E24" s="554"/>
      <c r="F24" s="554"/>
      <c r="G24" s="554"/>
      <c r="H24" s="589"/>
      <c r="I24" s="580" t="str">
        <f>LanguageTable!B15</f>
        <v>Cable 1:</v>
      </c>
      <c r="J24" s="580"/>
      <c r="K24" s="554"/>
      <c r="L24" s="554"/>
      <c r="M24" s="554"/>
      <c r="N24" s="593"/>
      <c r="O24" s="387"/>
    </row>
    <row r="25" spans="1:15" s="635" customFormat="1" ht="12.75" customHeight="1" x14ac:dyDescent="0.4">
      <c r="A25" s="387"/>
      <c r="B25" s="592"/>
      <c r="C25" s="584"/>
      <c r="D25" s="585" t="str">
        <f ca="1">IF(Errorhandling!C22,Errorhandling!E22,"")</f>
        <v/>
      </c>
      <c r="E25" s="586">
        <v>3</v>
      </c>
      <c r="F25" s="554" t="str">
        <f ca="1">IF(Errorhandling!C22,"dB","")</f>
        <v/>
      </c>
      <c r="G25" s="587">
        <f ca="1">IF(Errorhandling!C22,1,0)</f>
        <v>0</v>
      </c>
      <c r="H25" s="589"/>
      <c r="I25" s="584"/>
      <c r="J25" s="585" t="str">
        <f ca="1">IF(Errorhandling!D22,Errorhandling!E22,"")</f>
        <v/>
      </c>
      <c r="K25" s="586">
        <v>3</v>
      </c>
      <c r="L25" s="554" t="str">
        <f ca="1">IF(Errorhandling!D22,"dB","")</f>
        <v/>
      </c>
      <c r="M25" s="587">
        <f ca="1">IF(Errorhandling!D22,1,0)</f>
        <v>0</v>
      </c>
      <c r="N25" s="593"/>
      <c r="O25" s="387"/>
    </row>
    <row r="26" spans="1:15" s="635" customFormat="1" ht="12.75" customHeight="1" x14ac:dyDescent="0.4">
      <c r="A26" s="387"/>
      <c r="B26" s="592"/>
      <c r="C26" s="581"/>
      <c r="D26" s="588"/>
      <c r="E26" s="554"/>
      <c r="F26" s="554"/>
      <c r="G26" s="554"/>
      <c r="H26" s="589"/>
      <c r="I26" s="581"/>
      <c r="J26" s="588"/>
      <c r="K26" s="554"/>
      <c r="L26" s="554"/>
      <c r="M26" s="554"/>
      <c r="N26" s="593"/>
      <c r="O26" s="387"/>
    </row>
    <row r="27" spans="1:15" ht="12.75" customHeight="1" x14ac:dyDescent="0.4">
      <c r="A27" s="158"/>
      <c r="B27" s="553"/>
      <c r="C27" s="580" t="str">
        <f>LanguageTable!B16</f>
        <v>Surge arrestor:</v>
      </c>
      <c r="D27" s="580"/>
      <c r="E27" s="554"/>
      <c r="F27" s="554"/>
      <c r="G27" s="554"/>
      <c r="H27" s="589"/>
      <c r="I27" s="580" t="str">
        <f>LanguageTable!B16</f>
        <v>Surge arrestor:</v>
      </c>
      <c r="J27" s="580"/>
      <c r="K27" s="554"/>
      <c r="L27" s="554"/>
      <c r="M27" s="554"/>
      <c r="N27" s="555"/>
      <c r="O27" s="158"/>
    </row>
    <row r="28" spans="1:15" ht="12.75" customHeight="1" x14ac:dyDescent="0.4">
      <c r="A28" s="158"/>
      <c r="B28" s="553"/>
      <c r="C28" s="554"/>
      <c r="D28" s="554"/>
      <c r="E28" s="554"/>
      <c r="F28" s="554"/>
      <c r="G28" s="554"/>
      <c r="H28" s="589"/>
      <c r="I28" s="580"/>
      <c r="J28" s="580"/>
      <c r="K28" s="554"/>
      <c r="L28" s="554"/>
      <c r="M28" s="554"/>
      <c r="N28" s="555"/>
      <c r="O28" s="158"/>
    </row>
    <row r="29" spans="1:15" ht="12.75" customHeight="1" x14ac:dyDescent="0.4">
      <c r="A29" s="158"/>
      <c r="B29" s="553"/>
      <c r="C29" s="580" t="str">
        <f>LanguageTable!B17</f>
        <v>Cable 2:</v>
      </c>
      <c r="D29" s="580"/>
      <c r="E29" s="554"/>
      <c r="F29" s="554"/>
      <c r="G29" s="554"/>
      <c r="H29" s="589"/>
      <c r="I29" s="580" t="str">
        <f>LanguageTable!B17</f>
        <v>Cable 2:</v>
      </c>
      <c r="J29" s="580"/>
      <c r="K29" s="554"/>
      <c r="L29" s="554"/>
      <c r="M29" s="554"/>
      <c r="N29" s="555"/>
      <c r="O29" s="158"/>
    </row>
    <row r="30" spans="1:15" ht="12.75" customHeight="1" x14ac:dyDescent="0.4">
      <c r="A30" s="158"/>
      <c r="B30" s="553"/>
      <c r="C30" s="584"/>
      <c r="D30" s="585" t="str">
        <f ca="1">IF(Errorhandling!C23,Errorhandling!E23,"")</f>
        <v/>
      </c>
      <c r="E30" s="586">
        <v>20</v>
      </c>
      <c r="F30" s="554" t="str">
        <f ca="1">IF(Errorhandling!C23,"dB","")</f>
        <v/>
      </c>
      <c r="G30" s="587">
        <f ca="1">IF(Errorhandling!C23,1,0)</f>
        <v>0</v>
      </c>
      <c r="H30" s="589"/>
      <c r="I30" s="584"/>
      <c r="J30" s="585" t="str">
        <f ca="1">IF(Errorhandling!D23,Errorhandling!E23,"")</f>
        <v/>
      </c>
      <c r="K30" s="586"/>
      <c r="L30" s="554" t="str">
        <f ca="1">IF(Errorhandling!D23,"dB","")</f>
        <v/>
      </c>
      <c r="M30" s="587">
        <f ca="1">IF(Errorhandling!D23,1,0)</f>
        <v>0</v>
      </c>
      <c r="N30" s="555"/>
      <c r="O30" s="158"/>
    </row>
    <row r="31" spans="1:15" ht="12.75" customHeight="1" thickBot="1" x14ac:dyDescent="0.3">
      <c r="A31" s="158"/>
      <c r="B31" s="553"/>
      <c r="C31" s="756"/>
      <c r="D31" s="756"/>
      <c r="E31" s="756"/>
      <c r="F31" s="756"/>
      <c r="G31" s="757"/>
      <c r="H31" s="758"/>
      <c r="I31" s="756"/>
      <c r="J31" s="756"/>
      <c r="K31" s="756"/>
      <c r="L31" s="756"/>
      <c r="M31" s="756"/>
      <c r="N31" s="759"/>
      <c r="O31" s="158"/>
    </row>
    <row r="32" spans="1:15" ht="12.75" customHeight="1" thickTop="1" x14ac:dyDescent="0.25">
      <c r="A32" s="158"/>
      <c r="B32" s="590"/>
      <c r="C32" s="588"/>
      <c r="D32" s="588"/>
      <c r="E32" s="591"/>
      <c r="F32" s="554"/>
      <c r="G32" s="554"/>
      <c r="H32" s="554"/>
      <c r="I32" s="588"/>
      <c r="J32" s="588"/>
      <c r="K32" s="554"/>
      <c r="L32" s="554"/>
      <c r="M32" s="554"/>
      <c r="N32" s="555"/>
      <c r="O32" s="158"/>
    </row>
    <row r="33" spans="1:20" ht="12.75" customHeight="1" x14ac:dyDescent="0.3">
      <c r="A33" s="158"/>
      <c r="B33" s="553"/>
      <c r="C33" s="588"/>
      <c r="D33" s="827" t="str">
        <f>LanguageTable!B18</f>
        <v>10 dB "bad weather" reserve:</v>
      </c>
      <c r="E33" s="827"/>
      <c r="F33" s="827"/>
      <c r="G33" s="827"/>
      <c r="H33" s="554"/>
      <c r="I33" s="588"/>
      <c r="J33" s="588"/>
      <c r="K33" s="591"/>
      <c r="L33" s="554"/>
      <c r="M33" s="554"/>
      <c r="N33" s="555"/>
      <c r="O33" s="158"/>
    </row>
    <row r="34" spans="1:20" ht="12.75" customHeight="1" x14ac:dyDescent="0.3">
      <c r="A34" s="158"/>
      <c r="B34" s="592"/>
      <c r="C34" s="588"/>
      <c r="D34" s="588"/>
      <c r="E34" s="755"/>
      <c r="F34" s="755"/>
      <c r="G34" s="755"/>
      <c r="H34" s="755"/>
      <c r="I34" s="588"/>
      <c r="J34" s="588"/>
      <c r="K34" s="591"/>
      <c r="L34" s="554"/>
      <c r="M34" s="554"/>
      <c r="N34" s="593"/>
      <c r="O34" s="158"/>
    </row>
    <row r="35" spans="1:20" ht="12.75" customHeight="1" x14ac:dyDescent="0.3">
      <c r="A35" s="158"/>
      <c r="B35" s="592"/>
      <c r="C35" s="594"/>
      <c r="D35" s="827" t="str">
        <f>LanguageTable!B54</f>
        <v>additional Fade Margin / Reserve:</v>
      </c>
      <c r="E35" s="827"/>
      <c r="F35" s="827"/>
      <c r="G35" s="827"/>
      <c r="H35" s="755"/>
      <c r="I35" s="800">
        <v>0</v>
      </c>
      <c r="J35" s="755" t="s">
        <v>5</v>
      </c>
      <c r="K35" s="755"/>
      <c r="L35" s="755"/>
      <c r="M35" s="554"/>
      <c r="N35" s="593"/>
      <c r="O35" s="158"/>
    </row>
    <row r="36" spans="1:20" ht="12.75" customHeight="1" x14ac:dyDescent="0.25">
      <c r="A36" s="158"/>
      <c r="B36" s="760"/>
      <c r="C36" s="761"/>
      <c r="D36" s="761"/>
      <c r="E36" s="762"/>
      <c r="F36" s="605"/>
      <c r="G36" s="605"/>
      <c r="H36" s="605"/>
      <c r="I36" s="761"/>
      <c r="J36" s="761"/>
      <c r="K36" s="605"/>
      <c r="L36" s="605"/>
      <c r="M36" s="605"/>
      <c r="N36" s="763"/>
      <c r="O36" s="158"/>
    </row>
    <row r="37" spans="1:20" ht="12.75" customHeight="1" x14ac:dyDescent="0.25">
      <c r="A37" s="158"/>
      <c r="B37" s="387"/>
      <c r="C37" s="388"/>
      <c r="D37" s="388"/>
      <c r="E37" s="141"/>
      <c r="F37" s="387"/>
      <c r="G37" s="387"/>
      <c r="H37" s="387"/>
      <c r="I37" s="388"/>
      <c r="J37" s="388"/>
      <c r="K37" s="387"/>
      <c r="L37" s="387"/>
      <c r="M37" s="387"/>
      <c r="N37" s="387"/>
      <c r="O37" s="158"/>
    </row>
    <row r="38" spans="1:20" ht="12.75" hidden="1" customHeight="1" x14ac:dyDescent="0.25">
      <c r="A38" s="158"/>
      <c r="B38" s="387"/>
      <c r="C38" s="389"/>
      <c r="D38" s="389"/>
      <c r="E38" s="141"/>
      <c r="F38" s="387"/>
      <c r="G38" s="387"/>
      <c r="H38" s="387"/>
      <c r="I38" s="389"/>
      <c r="J38" s="389"/>
      <c r="K38" s="141"/>
      <c r="L38" s="387"/>
      <c r="M38" s="387"/>
      <c r="N38" s="387"/>
      <c r="O38" s="158"/>
    </row>
    <row r="39" spans="1:20" ht="12.75" hidden="1" customHeight="1" x14ac:dyDescent="0.25">
      <c r="A39" s="158"/>
      <c r="B39" s="387"/>
      <c r="C39" s="388"/>
      <c r="D39" s="388"/>
      <c r="E39" s="141"/>
      <c r="F39" s="387"/>
      <c r="G39" s="387"/>
      <c r="H39" s="387"/>
      <c r="I39" s="388"/>
      <c r="J39" s="388"/>
      <c r="K39" s="141"/>
      <c r="L39" s="387"/>
      <c r="M39" s="387"/>
      <c r="N39" s="387"/>
      <c r="O39" s="158"/>
    </row>
    <row r="40" spans="1:20" ht="12.75" hidden="1" customHeight="1" x14ac:dyDescent="0.25">
      <c r="A40" s="158"/>
      <c r="B40" s="387"/>
      <c r="C40" s="388"/>
      <c r="D40" s="388"/>
      <c r="E40" s="141"/>
      <c r="F40" s="387"/>
      <c r="G40" s="387"/>
      <c r="H40" s="387"/>
      <c r="I40" s="388"/>
      <c r="J40" s="388"/>
      <c r="K40" s="141"/>
      <c r="L40" s="387"/>
      <c r="M40" s="387"/>
      <c r="N40" s="387"/>
      <c r="O40" s="158"/>
    </row>
    <row r="41" spans="1:20" ht="12.75" hidden="1" customHeight="1" x14ac:dyDescent="0.25">
      <c r="A41" s="158"/>
      <c r="B41" s="387"/>
      <c r="C41" s="388"/>
      <c r="D41" s="388"/>
      <c r="E41" s="141"/>
      <c r="F41" s="387"/>
      <c r="G41" s="387"/>
      <c r="H41" s="387"/>
      <c r="I41" s="388"/>
      <c r="J41" s="388"/>
      <c r="K41" s="141"/>
      <c r="L41" s="387"/>
      <c r="M41" s="387"/>
      <c r="N41" s="387"/>
      <c r="O41" s="158"/>
    </row>
    <row r="42" spans="1:20" ht="12.75" hidden="1" customHeight="1" x14ac:dyDescent="0.3">
      <c r="A42" s="158"/>
      <c r="B42" s="387"/>
      <c r="C42" s="388"/>
      <c r="D42" s="827"/>
      <c r="E42" s="827"/>
      <c r="F42" s="827"/>
      <c r="G42" s="827"/>
      <c r="H42" s="387"/>
      <c r="I42" s="388"/>
      <c r="J42" s="388"/>
      <c r="K42" s="141"/>
      <c r="L42" s="387"/>
      <c r="M42" s="387"/>
      <c r="N42" s="387"/>
      <c r="O42" s="158"/>
    </row>
    <row r="43" spans="1:20" ht="12.75" hidden="1" customHeight="1" x14ac:dyDescent="0.25">
      <c r="A43" s="158"/>
      <c r="B43" s="387"/>
      <c r="C43" s="390"/>
      <c r="D43" s="390"/>
      <c r="E43" s="140"/>
      <c r="F43" s="387"/>
      <c r="G43" s="387"/>
      <c r="H43" s="387"/>
      <c r="I43" s="390"/>
      <c r="J43" s="390"/>
      <c r="K43" s="141"/>
      <c r="L43" s="387"/>
      <c r="M43" s="387"/>
      <c r="N43" s="387"/>
      <c r="O43" s="158"/>
    </row>
    <row r="44" spans="1:20" ht="12.75" customHeight="1" x14ac:dyDescent="0.25">
      <c r="A44" s="158"/>
      <c r="B44" s="595"/>
      <c r="C44" s="596"/>
      <c r="D44" s="596"/>
      <c r="E44" s="596"/>
      <c r="F44" s="596"/>
      <c r="G44" s="596"/>
      <c r="H44" s="596"/>
      <c r="I44" s="596"/>
      <c r="J44" s="596"/>
      <c r="K44" s="596"/>
      <c r="L44" s="596"/>
      <c r="M44" s="596"/>
      <c r="N44" s="597"/>
      <c r="O44" s="158"/>
    </row>
    <row r="45" spans="1:20" ht="15.5" x14ac:dyDescent="0.35">
      <c r="A45" s="158"/>
      <c r="B45" s="780"/>
      <c r="C45" s="803" t="str">
        <f>LanguageTable!B33</f>
        <v>Mast height calculation</v>
      </c>
      <c r="D45" s="803"/>
      <c r="E45" s="803"/>
      <c r="F45" s="803"/>
      <c r="G45" s="803"/>
      <c r="H45" s="803"/>
      <c r="I45" s="803"/>
      <c r="J45" s="803"/>
      <c r="K45" s="803"/>
      <c r="L45" s="803"/>
      <c r="M45" s="803"/>
      <c r="N45" s="781"/>
      <c r="O45" s="158"/>
      <c r="P45" s="391"/>
      <c r="Q45" s="391"/>
      <c r="R45" s="391"/>
      <c r="S45" s="391"/>
      <c r="T45" s="391"/>
    </row>
    <row r="46" spans="1:20" x14ac:dyDescent="0.25">
      <c r="A46" s="158"/>
      <c r="B46" s="780"/>
      <c r="C46" s="387"/>
      <c r="D46" s="387"/>
      <c r="E46" s="387"/>
      <c r="F46" s="387"/>
      <c r="G46" s="387"/>
      <c r="H46" s="387"/>
      <c r="I46" s="387"/>
      <c r="J46" s="387"/>
      <c r="K46" s="387"/>
      <c r="L46" s="387"/>
      <c r="M46" s="387"/>
      <c r="N46" s="781"/>
      <c r="O46" s="158"/>
      <c r="P46" s="391"/>
      <c r="Q46" s="391"/>
      <c r="R46" s="391"/>
      <c r="S46" s="391"/>
      <c r="T46" s="391"/>
    </row>
    <row r="47" spans="1:20" ht="13" x14ac:dyDescent="0.3">
      <c r="A47" s="158"/>
      <c r="B47" s="780"/>
      <c r="C47" s="387"/>
      <c r="D47" s="387"/>
      <c r="E47" s="387"/>
      <c r="F47" s="387"/>
      <c r="G47" s="785" t="str">
        <f>LanguageTable!$B$34</f>
        <v>Distance [m]</v>
      </c>
      <c r="H47" s="387"/>
      <c r="I47" s="801">
        <v>100</v>
      </c>
      <c r="J47" s="387"/>
      <c r="K47" s="387"/>
      <c r="L47" s="387"/>
      <c r="M47" s="387"/>
      <c r="N47" s="781"/>
      <c r="O47" s="158"/>
      <c r="P47" s="391"/>
      <c r="Q47" s="391"/>
      <c r="R47" s="391"/>
      <c r="S47" s="391"/>
      <c r="T47" s="391"/>
    </row>
    <row r="48" spans="1:20" ht="13" x14ac:dyDescent="0.3">
      <c r="A48" s="158"/>
      <c r="B48" s="780"/>
      <c r="C48" s="387"/>
      <c r="D48" s="387"/>
      <c r="E48" s="387"/>
      <c r="F48" s="387"/>
      <c r="G48" s="785" t="str">
        <f>LanguageTable!$B$35</f>
        <v>Mast Height [m]</v>
      </c>
      <c r="H48" s="387"/>
      <c r="I48" s="786">
        <f ca="1">MastHeight!$D$9</f>
        <v>1.2247866443867941</v>
      </c>
      <c r="J48" s="387"/>
      <c r="K48" s="387"/>
      <c r="L48" s="387"/>
      <c r="M48" s="387"/>
      <c r="N48" s="781"/>
      <c r="O48" s="158"/>
      <c r="P48" s="391"/>
      <c r="Q48" s="391"/>
      <c r="R48" s="391"/>
      <c r="S48" s="391"/>
      <c r="T48" s="391"/>
    </row>
    <row r="49" spans="1:20" x14ac:dyDescent="0.25">
      <c r="A49" s="158"/>
      <c r="B49" s="780"/>
      <c r="C49" s="387"/>
      <c r="D49" s="387"/>
      <c r="E49" s="387"/>
      <c r="F49" s="387"/>
      <c r="G49" s="387"/>
      <c r="H49" s="387"/>
      <c r="I49" s="387"/>
      <c r="J49" s="387"/>
      <c r="K49" s="387"/>
      <c r="L49" s="387"/>
      <c r="M49" s="387"/>
      <c r="N49" s="781"/>
      <c r="O49" s="158"/>
      <c r="P49" s="391"/>
      <c r="Q49" s="391"/>
      <c r="R49" s="391"/>
      <c r="S49" s="391"/>
      <c r="T49" s="391"/>
    </row>
    <row r="50" spans="1:20" ht="13" x14ac:dyDescent="0.3">
      <c r="A50" s="158"/>
      <c r="B50" s="780"/>
      <c r="C50" s="387"/>
      <c r="D50" s="387"/>
      <c r="E50" s="387"/>
      <c r="F50" s="554"/>
      <c r="G50" s="554"/>
      <c r="H50" s="554"/>
      <c r="I50" s="779" t="s">
        <v>599</v>
      </c>
      <c r="J50" s="779" t="s">
        <v>443</v>
      </c>
      <c r="K50" s="779" t="s">
        <v>581</v>
      </c>
      <c r="L50" s="779" t="s">
        <v>667</v>
      </c>
      <c r="M50" s="387"/>
      <c r="N50" s="781"/>
      <c r="O50" s="158"/>
      <c r="P50" s="391"/>
      <c r="Q50" s="391"/>
      <c r="R50" s="391"/>
      <c r="S50" s="391"/>
      <c r="T50" s="391"/>
    </row>
    <row r="51" spans="1:20" ht="13" x14ac:dyDescent="0.3">
      <c r="A51" s="158"/>
      <c r="B51" s="780"/>
      <c r="C51" s="387"/>
      <c r="D51" s="387"/>
      <c r="E51" s="387"/>
      <c r="F51" s="804" t="str">
        <f>LanguageTable!$B$22</f>
        <v>Gross data rate [Mbps]</v>
      </c>
      <c r="G51" s="804"/>
      <c r="H51" s="554"/>
      <c r="I51" s="634">
        <f ca="1">MastHeight!$K$13</f>
        <v>173.39999999999998</v>
      </c>
      <c r="J51" s="669">
        <f ca="1">MastHeight!$K$25</f>
        <v>405</v>
      </c>
      <c r="K51" s="667">
        <f ca="1">MastHeight!$K$37</f>
        <v>780</v>
      </c>
      <c r="L51" s="667" t="str">
        <f ca="1">MastHeight!$K$49</f>
        <v/>
      </c>
      <c r="M51" s="387"/>
      <c r="N51" s="781"/>
      <c r="O51" s="158"/>
      <c r="P51" s="391"/>
      <c r="Q51" s="391"/>
      <c r="R51" s="391"/>
      <c r="S51" s="391"/>
      <c r="T51" s="391"/>
    </row>
    <row r="52" spans="1:20" x14ac:dyDescent="0.25">
      <c r="A52" s="158"/>
      <c r="B52" s="782"/>
      <c r="C52" s="783"/>
      <c r="D52" s="783"/>
      <c r="E52" s="783"/>
      <c r="F52" s="783"/>
      <c r="G52" s="783"/>
      <c r="H52" s="783"/>
      <c r="I52" s="783"/>
      <c r="J52" s="783"/>
      <c r="K52" s="783"/>
      <c r="L52" s="783"/>
      <c r="M52" s="783"/>
      <c r="N52" s="784"/>
      <c r="O52" s="158"/>
      <c r="P52" s="391"/>
      <c r="Q52" s="391"/>
      <c r="R52" s="391"/>
      <c r="S52" s="391"/>
      <c r="T52" s="391"/>
    </row>
    <row r="53" spans="1:20" x14ac:dyDescent="0.25">
      <c r="A53" s="158"/>
      <c r="B53" s="158"/>
      <c r="C53" s="158"/>
      <c r="D53" s="158"/>
      <c r="E53" s="158"/>
      <c r="F53" s="158"/>
      <c r="G53" s="158"/>
      <c r="H53" s="158"/>
      <c r="I53" s="158"/>
      <c r="J53" s="158"/>
      <c r="K53" s="158"/>
      <c r="L53" s="158"/>
      <c r="M53" s="158"/>
      <c r="N53" s="158"/>
      <c r="O53" s="158"/>
      <c r="P53" s="391"/>
      <c r="Q53" s="391"/>
      <c r="R53" s="391"/>
      <c r="S53" s="391"/>
      <c r="T53" s="391"/>
    </row>
    <row r="54" spans="1:20" x14ac:dyDescent="0.25">
      <c r="A54" s="158"/>
      <c r="B54" s="595"/>
      <c r="C54" s="596"/>
      <c r="D54" s="596"/>
      <c r="E54" s="596"/>
      <c r="F54" s="596"/>
      <c r="G54" s="596"/>
      <c r="H54" s="596"/>
      <c r="I54" s="596"/>
      <c r="J54" s="596"/>
      <c r="K54" s="596"/>
      <c r="L54" s="596"/>
      <c r="M54" s="596"/>
      <c r="N54" s="597"/>
      <c r="O54" s="387"/>
      <c r="P54" s="391"/>
      <c r="Q54" s="391"/>
      <c r="R54" s="391"/>
      <c r="S54" s="391"/>
      <c r="T54" s="391"/>
    </row>
    <row r="55" spans="1:20" x14ac:dyDescent="0.25">
      <c r="A55" s="158"/>
      <c r="B55" s="831" t="str">
        <f ca="1">IF(OR(Errorhandling!C34,Errorhandling!D34),Errorhandling!E34,"")</f>
        <v/>
      </c>
      <c r="C55" s="832"/>
      <c r="D55" s="832"/>
      <c r="E55" s="832"/>
      <c r="F55" s="832"/>
      <c r="G55" s="832"/>
      <c r="H55" s="832"/>
      <c r="I55" s="832"/>
      <c r="J55" s="832"/>
      <c r="K55" s="832"/>
      <c r="L55" s="832"/>
      <c r="M55" s="832"/>
      <c r="N55" s="598"/>
      <c r="O55" s="387"/>
      <c r="P55" s="391"/>
      <c r="Q55" s="391"/>
      <c r="R55" s="391"/>
      <c r="S55" s="391"/>
      <c r="T55" s="391"/>
    </row>
    <row r="56" spans="1:20" ht="12.75" customHeight="1" x14ac:dyDescent="0.25">
      <c r="A56" s="158"/>
      <c r="B56" s="592"/>
      <c r="C56" s="842" t="str">
        <f>LanguageTable!B25</f>
        <v>Distance to data rate</v>
      </c>
      <c r="D56" s="842"/>
      <c r="E56" s="842"/>
      <c r="F56" s="842"/>
      <c r="G56" s="842"/>
      <c r="H56" s="842"/>
      <c r="I56" s="842"/>
      <c r="J56" s="842"/>
      <c r="K56" s="842"/>
      <c r="L56" s="842"/>
      <c r="M56" s="842"/>
      <c r="N56" s="593"/>
      <c r="O56" s="387"/>
      <c r="P56" s="391"/>
      <c r="Q56" s="391"/>
      <c r="R56" s="391"/>
      <c r="S56" s="391"/>
      <c r="T56" s="391"/>
    </row>
    <row r="57" spans="1:20" ht="12.75" customHeight="1" x14ac:dyDescent="0.25">
      <c r="A57" s="158"/>
      <c r="B57" s="592"/>
      <c r="C57" s="842"/>
      <c r="D57" s="842"/>
      <c r="E57" s="842"/>
      <c r="F57" s="842"/>
      <c r="G57" s="842"/>
      <c r="H57" s="842"/>
      <c r="I57" s="842"/>
      <c r="J57" s="842"/>
      <c r="K57" s="842"/>
      <c r="L57" s="842"/>
      <c r="M57" s="842"/>
      <c r="N57" s="593"/>
      <c r="O57" s="387"/>
      <c r="P57" s="391"/>
      <c r="Q57" s="391"/>
    </row>
    <row r="58" spans="1:20" x14ac:dyDescent="0.25">
      <c r="A58" s="158"/>
      <c r="B58" s="592"/>
      <c r="C58" s="554"/>
      <c r="D58" s="554"/>
      <c r="E58" s="554"/>
      <c r="F58" s="554"/>
      <c r="G58" s="554"/>
      <c r="H58" s="554"/>
      <c r="I58" s="554"/>
      <c r="J58" s="554"/>
      <c r="K58" s="554"/>
      <c r="L58" s="554"/>
      <c r="M58" s="554"/>
      <c r="N58" s="593"/>
      <c r="O58" s="387"/>
      <c r="P58" s="391"/>
      <c r="Q58" s="391"/>
    </row>
    <row r="59" spans="1:20" x14ac:dyDescent="0.25">
      <c r="A59" s="158"/>
      <c r="B59" s="592"/>
      <c r="C59" s="554"/>
      <c r="D59" s="554"/>
      <c r="E59" s="554"/>
      <c r="F59" s="554"/>
      <c r="G59" s="554"/>
      <c r="H59" s="554"/>
      <c r="I59" s="554"/>
      <c r="J59" s="554"/>
      <c r="K59" s="554"/>
      <c r="L59" s="554"/>
      <c r="M59" s="554"/>
      <c r="N59" s="593"/>
      <c r="O59" s="387"/>
      <c r="P59" s="391"/>
      <c r="Q59" s="391"/>
      <c r="R59" s="391"/>
      <c r="S59" s="391"/>
      <c r="T59" s="391"/>
    </row>
    <row r="60" spans="1:20" x14ac:dyDescent="0.25">
      <c r="A60" s="158"/>
      <c r="B60" s="592"/>
      <c r="C60" s="554"/>
      <c r="D60" s="554"/>
      <c r="E60" s="554"/>
      <c r="F60" s="554"/>
      <c r="G60" s="554"/>
      <c r="H60" s="554"/>
      <c r="I60" s="554"/>
      <c r="J60" s="554"/>
      <c r="K60" s="554"/>
      <c r="L60" s="554"/>
      <c r="M60" s="554"/>
      <c r="N60" s="593"/>
      <c r="O60" s="387"/>
      <c r="P60" s="391"/>
      <c r="Q60" s="391"/>
      <c r="R60" s="391"/>
      <c r="S60" s="391"/>
      <c r="T60" s="391"/>
    </row>
    <row r="61" spans="1:20" x14ac:dyDescent="0.25">
      <c r="A61" s="158"/>
      <c r="B61" s="592"/>
      <c r="C61" s="554"/>
      <c r="D61" s="554"/>
      <c r="E61" s="554"/>
      <c r="F61" s="554"/>
      <c r="G61" s="554"/>
      <c r="H61" s="554"/>
      <c r="I61" s="554"/>
      <c r="J61" s="554"/>
      <c r="K61" s="554"/>
      <c r="L61" s="554"/>
      <c r="M61" s="554"/>
      <c r="N61" s="593"/>
      <c r="O61" s="387"/>
      <c r="P61" s="392"/>
      <c r="Q61" s="391"/>
      <c r="R61" s="391"/>
      <c r="S61" s="391"/>
      <c r="T61" s="391"/>
    </row>
    <row r="62" spans="1:20" ht="12.75" customHeight="1" x14ac:dyDescent="0.25">
      <c r="A62" s="158"/>
      <c r="B62" s="592"/>
      <c r="C62" s="843" t="str">
        <f>LanguageTable!B22</f>
        <v>Gross data rate [Mbps]</v>
      </c>
      <c r="D62" s="554"/>
      <c r="E62" s="554"/>
      <c r="F62" s="554"/>
      <c r="G62" s="554"/>
      <c r="H62" s="554"/>
      <c r="I62" s="554"/>
      <c r="J62" s="554"/>
      <c r="K62" s="554"/>
      <c r="L62" s="554"/>
      <c r="M62" s="554"/>
      <c r="N62" s="593"/>
      <c r="O62" s="387"/>
      <c r="P62" s="391"/>
      <c r="Q62" s="391"/>
      <c r="R62" s="391"/>
      <c r="S62" s="391"/>
      <c r="T62" s="391"/>
    </row>
    <row r="63" spans="1:20" ht="12.75" customHeight="1" x14ac:dyDescent="0.25">
      <c r="A63" s="158"/>
      <c r="B63" s="592"/>
      <c r="C63" s="843"/>
      <c r="D63" s="554"/>
      <c r="E63" s="554"/>
      <c r="F63" s="554"/>
      <c r="G63" s="554"/>
      <c r="H63" s="554"/>
      <c r="I63" s="554"/>
      <c r="J63" s="554"/>
      <c r="K63" s="554"/>
      <c r="L63" s="554"/>
      <c r="M63" s="554"/>
      <c r="N63" s="593"/>
      <c r="O63" s="387"/>
      <c r="P63" s="391"/>
      <c r="Q63" s="520"/>
      <c r="R63" s="391"/>
      <c r="S63" s="391"/>
      <c r="T63" s="391"/>
    </row>
    <row r="64" spans="1:20" x14ac:dyDescent="0.25">
      <c r="A64" s="158"/>
      <c r="B64" s="592"/>
      <c r="C64" s="843"/>
      <c r="D64" s="554"/>
      <c r="E64" s="599"/>
      <c r="F64" s="554"/>
      <c r="G64" s="554"/>
      <c r="H64" s="554"/>
      <c r="I64" s="554"/>
      <c r="J64" s="554"/>
      <c r="K64" s="554"/>
      <c r="L64" s="554"/>
      <c r="M64" s="554"/>
      <c r="N64" s="593"/>
      <c r="O64" s="387"/>
      <c r="P64" s="391"/>
      <c r="Q64" s="391"/>
      <c r="R64" s="391"/>
      <c r="S64" s="391"/>
      <c r="T64" s="391"/>
    </row>
    <row r="65" spans="1:20" x14ac:dyDescent="0.25">
      <c r="A65" s="158"/>
      <c r="B65" s="592"/>
      <c r="C65" s="843"/>
      <c r="D65" s="554"/>
      <c r="E65" s="599"/>
      <c r="F65" s="554"/>
      <c r="G65" s="554"/>
      <c r="H65" s="554"/>
      <c r="I65" s="554"/>
      <c r="J65" s="554"/>
      <c r="K65" s="554"/>
      <c r="L65" s="554"/>
      <c r="M65" s="554"/>
      <c r="N65" s="593"/>
      <c r="O65" s="387"/>
      <c r="P65" s="391"/>
      <c r="Q65" s="391"/>
      <c r="R65" s="391"/>
      <c r="S65" s="391"/>
      <c r="T65" s="391"/>
    </row>
    <row r="66" spans="1:20" x14ac:dyDescent="0.25">
      <c r="A66" s="158"/>
      <c r="B66" s="592"/>
      <c r="C66" s="843"/>
      <c r="D66" s="554"/>
      <c r="E66" s="599"/>
      <c r="F66" s="554"/>
      <c r="G66" s="554"/>
      <c r="H66" s="554"/>
      <c r="I66" s="554"/>
      <c r="J66" s="554"/>
      <c r="K66" s="554"/>
      <c r="L66" s="554"/>
      <c r="M66" s="554"/>
      <c r="N66" s="593"/>
      <c r="O66" s="387"/>
      <c r="P66" s="391"/>
      <c r="Q66" s="391"/>
      <c r="R66" s="391"/>
      <c r="S66" s="391"/>
      <c r="T66" s="391"/>
    </row>
    <row r="67" spans="1:20" x14ac:dyDescent="0.25">
      <c r="A67" s="158"/>
      <c r="B67" s="592"/>
      <c r="C67" s="843"/>
      <c r="D67" s="554"/>
      <c r="E67" s="599"/>
      <c r="F67" s="554"/>
      <c r="G67" s="554"/>
      <c r="H67" s="554"/>
      <c r="I67" s="554"/>
      <c r="J67" s="554"/>
      <c r="K67" s="554"/>
      <c r="L67" s="554"/>
      <c r="M67" s="554"/>
      <c r="N67" s="593"/>
      <c r="O67" s="387"/>
      <c r="P67" s="391"/>
      <c r="Q67" s="391"/>
      <c r="R67" s="391"/>
      <c r="S67" s="391"/>
      <c r="T67" s="391"/>
    </row>
    <row r="68" spans="1:20" x14ac:dyDescent="0.25">
      <c r="A68" s="158"/>
      <c r="B68" s="592"/>
      <c r="C68" s="843"/>
      <c r="D68" s="554"/>
      <c r="E68" s="599"/>
      <c r="F68" s="554"/>
      <c r="G68" s="554"/>
      <c r="H68" s="554"/>
      <c r="I68" s="554"/>
      <c r="J68" s="554"/>
      <c r="K68" s="554"/>
      <c r="L68" s="554"/>
      <c r="M68" s="554"/>
      <c r="N68" s="593"/>
      <c r="O68" s="387"/>
      <c r="P68" s="391"/>
      <c r="Q68" s="391"/>
      <c r="R68" s="391"/>
      <c r="S68" s="391"/>
      <c r="T68" s="391"/>
    </row>
    <row r="69" spans="1:20" x14ac:dyDescent="0.25">
      <c r="A69" s="158"/>
      <c r="B69" s="592"/>
      <c r="C69" s="843"/>
      <c r="D69" s="554"/>
      <c r="E69" s="599"/>
      <c r="F69" s="554"/>
      <c r="G69" s="554"/>
      <c r="H69" s="554"/>
      <c r="I69" s="554"/>
      <c r="J69" s="554"/>
      <c r="K69" s="554"/>
      <c r="L69" s="554"/>
      <c r="M69" s="554"/>
      <c r="N69" s="593"/>
      <c r="O69" s="387"/>
      <c r="P69" s="391"/>
      <c r="Q69" s="391"/>
      <c r="R69" s="391"/>
      <c r="S69" s="391"/>
      <c r="T69" s="391"/>
    </row>
    <row r="70" spans="1:20" x14ac:dyDescent="0.25">
      <c r="A70" s="158"/>
      <c r="B70" s="592"/>
      <c r="C70" s="843"/>
      <c r="D70" s="554"/>
      <c r="E70" s="599"/>
      <c r="F70" s="554"/>
      <c r="G70" s="554"/>
      <c r="H70" s="554"/>
      <c r="I70" s="554"/>
      <c r="J70" s="554"/>
      <c r="K70" s="554"/>
      <c r="L70" s="554"/>
      <c r="M70" s="554"/>
      <c r="N70" s="593"/>
      <c r="O70" s="387"/>
      <c r="P70" s="391"/>
      <c r="Q70" s="391"/>
      <c r="R70" s="391"/>
      <c r="S70" s="391"/>
      <c r="T70" s="391"/>
    </row>
    <row r="71" spans="1:20" x14ac:dyDescent="0.25">
      <c r="A71" s="158"/>
      <c r="B71" s="592"/>
      <c r="C71" s="843"/>
      <c r="D71" s="554"/>
      <c r="E71" s="599"/>
      <c r="F71" s="554"/>
      <c r="G71" s="554"/>
      <c r="H71" s="554"/>
      <c r="I71" s="554"/>
      <c r="J71" s="554"/>
      <c r="K71" s="554"/>
      <c r="L71" s="554"/>
      <c r="M71" s="554"/>
      <c r="N71" s="593"/>
      <c r="O71" s="387"/>
      <c r="P71" s="391"/>
      <c r="Q71" s="391"/>
      <c r="R71" s="391"/>
      <c r="S71" s="391"/>
      <c r="T71" s="391"/>
    </row>
    <row r="72" spans="1:20" x14ac:dyDescent="0.25">
      <c r="A72" s="158"/>
      <c r="B72" s="592"/>
      <c r="C72" s="843"/>
      <c r="D72" s="554"/>
      <c r="E72" s="599"/>
      <c r="F72" s="554"/>
      <c r="G72" s="554"/>
      <c r="H72" s="554"/>
      <c r="I72" s="554"/>
      <c r="J72" s="554"/>
      <c r="K72" s="554"/>
      <c r="L72" s="554"/>
      <c r="M72" s="554"/>
      <c r="N72" s="593"/>
      <c r="O72" s="387"/>
      <c r="P72" s="391"/>
      <c r="Q72" s="391"/>
      <c r="R72" s="391"/>
      <c r="S72" s="391"/>
      <c r="T72" s="391"/>
    </row>
    <row r="73" spans="1:20" x14ac:dyDescent="0.25">
      <c r="A73" s="158"/>
      <c r="B73" s="592"/>
      <c r="C73" s="843"/>
      <c r="D73" s="554"/>
      <c r="E73" s="599"/>
      <c r="F73" s="554"/>
      <c r="G73" s="554"/>
      <c r="H73" s="554"/>
      <c r="I73" s="554"/>
      <c r="J73" s="554"/>
      <c r="K73" s="554"/>
      <c r="L73" s="554"/>
      <c r="M73" s="554"/>
      <c r="N73" s="593"/>
      <c r="O73" s="387"/>
      <c r="P73" s="391"/>
      <c r="Q73" s="391"/>
      <c r="R73" s="391"/>
      <c r="S73" s="391"/>
      <c r="T73" s="391"/>
    </row>
    <row r="74" spans="1:20" x14ac:dyDescent="0.25">
      <c r="A74" s="158"/>
      <c r="B74" s="592"/>
      <c r="C74" s="843"/>
      <c r="D74" s="554"/>
      <c r="E74" s="599"/>
      <c r="F74" s="554"/>
      <c r="G74" s="554"/>
      <c r="H74" s="554"/>
      <c r="I74" s="554"/>
      <c r="J74" s="554"/>
      <c r="K74" s="554"/>
      <c r="L74" s="554"/>
      <c r="M74" s="554"/>
      <c r="N74" s="593"/>
      <c r="O74" s="387"/>
      <c r="P74" s="391"/>
      <c r="Q74" s="391"/>
      <c r="R74" s="391"/>
      <c r="S74" s="391"/>
      <c r="T74" s="391"/>
    </row>
    <row r="75" spans="1:20" x14ac:dyDescent="0.25">
      <c r="A75" s="158"/>
      <c r="B75" s="592"/>
      <c r="C75" s="843"/>
      <c r="D75" s="554"/>
      <c r="E75" s="599"/>
      <c r="F75" s="554"/>
      <c r="G75" s="554"/>
      <c r="H75" s="554"/>
      <c r="I75" s="554"/>
      <c r="J75" s="554"/>
      <c r="K75" s="554"/>
      <c r="L75" s="554"/>
      <c r="M75" s="554"/>
      <c r="N75" s="593"/>
      <c r="O75" s="387"/>
      <c r="P75" s="391"/>
      <c r="Q75" s="391"/>
      <c r="R75" s="391"/>
      <c r="S75" s="391"/>
      <c r="T75" s="391"/>
    </row>
    <row r="76" spans="1:20" x14ac:dyDescent="0.25">
      <c r="A76" s="158"/>
      <c r="B76" s="592"/>
      <c r="C76" s="554"/>
      <c r="D76" s="554"/>
      <c r="E76" s="599"/>
      <c r="F76" s="554"/>
      <c r="G76" s="554"/>
      <c r="H76" s="554"/>
      <c r="I76" s="554"/>
      <c r="J76" s="554"/>
      <c r="K76" s="554"/>
      <c r="L76" s="554"/>
      <c r="M76" s="554"/>
      <c r="N76" s="593"/>
      <c r="O76" s="387"/>
      <c r="P76" s="391"/>
      <c r="Q76" s="391"/>
      <c r="R76" s="391"/>
      <c r="S76" s="391"/>
      <c r="T76" s="391"/>
    </row>
    <row r="77" spans="1:20" x14ac:dyDescent="0.25">
      <c r="A77" s="158"/>
      <c r="B77" s="592"/>
      <c r="C77" s="554"/>
      <c r="D77" s="600"/>
      <c r="E77" s="599"/>
      <c r="F77" s="554"/>
      <c r="G77" s="554"/>
      <c r="H77" s="554"/>
      <c r="I77" s="554"/>
      <c r="J77" s="554"/>
      <c r="K77" s="554"/>
      <c r="L77" s="554"/>
      <c r="M77" s="554"/>
      <c r="N77" s="593"/>
      <c r="O77" s="387"/>
      <c r="P77" s="391"/>
      <c r="Q77" s="391"/>
      <c r="R77" s="391"/>
      <c r="S77" s="391"/>
      <c r="T77" s="391"/>
    </row>
    <row r="78" spans="1:20" ht="13" x14ac:dyDescent="0.3">
      <c r="A78" s="158"/>
      <c r="B78" s="592"/>
      <c r="C78" s="600"/>
      <c r="D78" s="827" t="str">
        <f>LanguageTable!B23</f>
        <v>Max. distance [m]</v>
      </c>
      <c r="E78" s="827"/>
      <c r="F78" s="827"/>
      <c r="G78" s="827"/>
      <c r="H78" s="827"/>
      <c r="I78" s="827"/>
      <c r="J78" s="827"/>
      <c r="K78" s="827"/>
      <c r="L78" s="827"/>
      <c r="M78" s="554"/>
      <c r="N78" s="593"/>
      <c r="O78" s="387"/>
      <c r="P78" s="391"/>
      <c r="Q78" s="391"/>
      <c r="R78" s="391"/>
      <c r="S78" s="391"/>
      <c r="T78" s="391"/>
    </row>
    <row r="79" spans="1:20" ht="15.75" customHeight="1" x14ac:dyDescent="0.25">
      <c r="A79" s="158"/>
      <c r="B79" s="592"/>
      <c r="C79" s="584"/>
      <c r="D79" s="554"/>
      <c r="E79" s="554"/>
      <c r="F79" s="554"/>
      <c r="G79" s="554"/>
      <c r="H79" s="554"/>
      <c r="I79" s="554"/>
      <c r="J79" s="554"/>
      <c r="K79" s="554"/>
      <c r="L79" s="554"/>
      <c r="M79" s="554"/>
      <c r="N79" s="593"/>
      <c r="O79" s="387"/>
      <c r="P79" s="391"/>
      <c r="Q79" s="391"/>
      <c r="R79" s="391"/>
      <c r="S79" s="391"/>
      <c r="T79" s="391"/>
    </row>
    <row r="80" spans="1:20" ht="12.75" customHeight="1" x14ac:dyDescent="0.25">
      <c r="A80" s="158"/>
      <c r="B80" s="592"/>
      <c r="C80" s="584" t="str">
        <f ca="1">IF(Errorhandling!C36,Errorhandling!E36,"")</f>
        <v/>
      </c>
      <c r="D80" s="839" t="str">
        <f>LanguageTable!$B$22</f>
        <v>Gross data rate [Mbps]</v>
      </c>
      <c r="E80" s="833" t="str">
        <f>LanguageTable!$B$23</f>
        <v>Max. distance [m]</v>
      </c>
      <c r="F80" s="839" t="str">
        <f>LanguageTable!$B$22</f>
        <v>Gross data rate [Mbps]</v>
      </c>
      <c r="G80" s="838" t="str">
        <f>LanguageTable!$B$23</f>
        <v>Max. distance [m]</v>
      </c>
      <c r="H80" s="833"/>
      <c r="I80" s="839" t="str">
        <f>LanguageTable!$B$22</f>
        <v>Gross data rate [Mbps]</v>
      </c>
      <c r="J80" s="838" t="str">
        <f>LanguageTable!$B$23</f>
        <v>Max. distance [m]</v>
      </c>
      <c r="K80" s="836" t="str">
        <f>LanguageTable!$B$22</f>
        <v>Gross data rate [Mbps]</v>
      </c>
      <c r="L80" s="833" t="str">
        <f>LanguageTable!$B$23</f>
        <v>Max. distance [m]</v>
      </c>
      <c r="M80" s="554"/>
      <c r="N80" s="593"/>
      <c r="O80" s="387"/>
      <c r="P80" s="391"/>
      <c r="Q80" s="391"/>
      <c r="R80" s="391"/>
      <c r="S80" s="391"/>
      <c r="T80" s="391"/>
    </row>
    <row r="81" spans="1:20" x14ac:dyDescent="0.25">
      <c r="A81" s="158"/>
      <c r="B81" s="592"/>
      <c r="C81" s="554"/>
      <c r="D81" s="840"/>
      <c r="E81" s="834"/>
      <c r="F81" s="840"/>
      <c r="G81" s="836"/>
      <c r="H81" s="834"/>
      <c r="I81" s="840"/>
      <c r="J81" s="836"/>
      <c r="K81" s="836"/>
      <c r="L81" s="834"/>
      <c r="M81" s="554"/>
      <c r="N81" s="593"/>
      <c r="O81" s="387"/>
      <c r="P81" s="391"/>
    </row>
    <row r="82" spans="1:20" ht="12.75" customHeight="1" x14ac:dyDescent="0.25">
      <c r="A82" s="158"/>
      <c r="B82" s="592"/>
      <c r="C82" s="554"/>
      <c r="D82" s="841"/>
      <c r="E82" s="835"/>
      <c r="F82" s="841"/>
      <c r="G82" s="837"/>
      <c r="H82" s="835"/>
      <c r="I82" s="841"/>
      <c r="J82" s="837"/>
      <c r="K82" s="837"/>
      <c r="L82" s="835"/>
      <c r="M82" s="554"/>
      <c r="N82" s="593"/>
      <c r="O82" s="387"/>
      <c r="P82" s="391"/>
    </row>
    <row r="83" spans="1:20" x14ac:dyDescent="0.25">
      <c r="A83" s="158"/>
      <c r="B83" s="592"/>
      <c r="C83" s="554"/>
      <c r="D83" s="805" t="s">
        <v>599</v>
      </c>
      <c r="E83" s="806"/>
      <c r="F83" s="820" t="s">
        <v>443</v>
      </c>
      <c r="G83" s="821"/>
      <c r="H83" s="822"/>
      <c r="I83" s="823" t="s">
        <v>588</v>
      </c>
      <c r="J83" s="824"/>
      <c r="K83" s="825" t="s">
        <v>670</v>
      </c>
      <c r="L83" s="826"/>
      <c r="M83" s="554"/>
      <c r="N83" s="593"/>
      <c r="O83" s="387"/>
      <c r="P83" s="391"/>
    </row>
    <row r="84" spans="1:20" x14ac:dyDescent="0.25">
      <c r="A84" s="158"/>
      <c r="B84" s="592"/>
      <c r="C84" s="554"/>
      <c r="D84" s="660">
        <f ca="1">IFERROR(Display!I49,"")</f>
        <v>21.6</v>
      </c>
      <c r="E84" s="730">
        <f ca="1">IFERROR(Display!J49,"")</f>
        <v>870.23653149570634</v>
      </c>
      <c r="F84" s="654">
        <f ca="1">IFERROR(Display!K49,"")</f>
        <v>45</v>
      </c>
      <c r="G84" s="733">
        <f ca="1">IFERROR(Display!L49,"")</f>
        <v>976.421447945914</v>
      </c>
      <c r="H84" s="657"/>
      <c r="I84" s="663">
        <f ca="1">IFERROR(Display!M49,"")</f>
        <v>97.5</v>
      </c>
      <c r="J84" s="736">
        <f ca="1">IFERROR(Display!N49,"")</f>
        <v>870.23653149570634</v>
      </c>
      <c r="K84" s="690">
        <f ca="1">Display!O49</f>
        <v>97.5</v>
      </c>
      <c r="L84" s="739">
        <f ca="1">Display!P49</f>
        <v>3.8872037990949677E-5</v>
      </c>
      <c r="M84" s="554"/>
      <c r="N84" s="593"/>
      <c r="O84" s="387"/>
      <c r="P84" s="391"/>
    </row>
    <row r="85" spans="1:20" x14ac:dyDescent="0.25">
      <c r="A85" s="158"/>
      <c r="B85" s="592"/>
      <c r="C85" s="554"/>
      <c r="D85" s="661">
        <f ca="1">IFERROR(Display!I50,"")</f>
        <v>43.2</v>
      </c>
      <c r="E85" s="731">
        <f ca="1">IFERROR(Display!J50,"")</f>
        <v>616.08028388945922</v>
      </c>
      <c r="F85" s="655">
        <f ca="1">IFERROR(Display!K50,"")</f>
        <v>90</v>
      </c>
      <c r="G85" s="734">
        <f ca="1">IFERROR(Display!L50,"")</f>
        <v>775.59912509380547</v>
      </c>
      <c r="H85" s="658"/>
      <c r="I85" s="664">
        <f ca="1">IFERROR(Display!M50,"")</f>
        <v>195</v>
      </c>
      <c r="J85" s="737">
        <f ca="1">IFERROR(Display!N50,"")</f>
        <v>691.25344785556547</v>
      </c>
      <c r="K85" s="672">
        <f ca="1">Display!O50</f>
        <v>195</v>
      </c>
      <c r="L85" s="739">
        <f ca="1">Display!P50</f>
        <v>3.8872037990949677E-5</v>
      </c>
      <c r="M85" s="554"/>
      <c r="N85" s="593"/>
      <c r="O85" s="387"/>
      <c r="P85" s="391"/>
    </row>
    <row r="86" spans="1:20" x14ac:dyDescent="0.25">
      <c r="A86" s="158"/>
      <c r="B86" s="592"/>
      <c r="C86" s="554"/>
      <c r="D86" s="661">
        <f ca="1">IFERROR(Display!I51,"")</f>
        <v>65.099999999999994</v>
      </c>
      <c r="E86" s="731">
        <f ca="1">IFERROR(Display!J51,"")</f>
        <v>489.36996435034837</v>
      </c>
      <c r="F86" s="655">
        <f ca="1">IFERROR(Display!K51,"")</f>
        <v>135</v>
      </c>
      <c r="G86" s="734">
        <f ca="1">IFERROR(Display!L51,"")</f>
        <v>436.15143982172577</v>
      </c>
      <c r="H86" s="658"/>
      <c r="I86" s="664">
        <f ca="1">IFERROR(Display!M51,"")</f>
        <v>292.5</v>
      </c>
      <c r="J86" s="737">
        <f ca="1">IFERROR(Display!N51,"")</f>
        <v>549.08213098218505</v>
      </c>
      <c r="K86" s="672">
        <f ca="1">Display!O51</f>
        <v>292.5</v>
      </c>
      <c r="L86" s="739">
        <f ca="1">Display!P51</f>
        <v>3.4644740326604493E-5</v>
      </c>
      <c r="M86" s="601"/>
      <c r="N86" s="602"/>
      <c r="O86" s="387"/>
      <c r="P86" s="391"/>
    </row>
    <row r="87" spans="1:20" x14ac:dyDescent="0.25">
      <c r="A87" s="158"/>
      <c r="B87" s="603"/>
      <c r="C87" s="601"/>
      <c r="D87" s="661">
        <f ca="1">IFERROR(Display!I52,"")</f>
        <v>86.699999999999989</v>
      </c>
      <c r="E87" s="731">
        <f ca="1">IFERROR(Display!J52,"")</f>
        <v>275.19295426112899</v>
      </c>
      <c r="F87" s="655">
        <f ca="1">IFERROR(Display!K52,"")</f>
        <v>180</v>
      </c>
      <c r="G87" s="734">
        <f ca="1">IFERROR(Display!L52,"")</f>
        <v>245.26597865302801</v>
      </c>
      <c r="H87" s="658"/>
      <c r="I87" s="664">
        <f ca="1">IFERROR(Display!M52,"")</f>
        <v>390</v>
      </c>
      <c r="J87" s="737">
        <f ca="1">IFERROR(Display!N52,"")</f>
        <v>346.44740326604517</v>
      </c>
      <c r="K87" s="672">
        <f ca="1">Display!O52</f>
        <v>390</v>
      </c>
      <c r="L87" s="739">
        <f ca="1">Display!P52</f>
        <v>3.4644740326604493E-5</v>
      </c>
      <c r="M87" s="601"/>
      <c r="N87" s="602"/>
      <c r="O87" s="387"/>
      <c r="P87" s="391"/>
    </row>
    <row r="88" spans="1:20" x14ac:dyDescent="0.25">
      <c r="A88" s="158"/>
      <c r="B88" s="603"/>
      <c r="C88" s="601"/>
      <c r="D88" s="661">
        <f ca="1">IFERROR(Display!I53,"")</f>
        <v>129.89999999999998</v>
      </c>
      <c r="E88" s="731">
        <f ca="1">IFERROR(Display!J53,"")</f>
        <v>154.75237058225048</v>
      </c>
      <c r="F88" s="655">
        <f ca="1">IFERROR(Display!K53,"")</f>
        <v>270</v>
      </c>
      <c r="G88" s="734">
        <f ca="1">IFERROR(Display!L53,"")</f>
        <v>194.82169186138324</v>
      </c>
      <c r="H88" s="658"/>
      <c r="I88" s="664">
        <f ca="1">IFERROR(Display!M53,"")</f>
        <v>585</v>
      </c>
      <c r="J88" s="737">
        <f ca="1">IFERROR(Display!N53,"")</f>
        <v>218.59353356680251</v>
      </c>
      <c r="K88" s="672">
        <f ca="1">Display!O53</f>
        <v>585</v>
      </c>
      <c r="L88" s="739">
        <f ca="1">Display!P53</f>
        <v>3.0877157317486264E-5</v>
      </c>
      <c r="M88" s="601"/>
      <c r="N88" s="602"/>
      <c r="O88" s="387"/>
      <c r="P88" s="391"/>
    </row>
    <row r="89" spans="1:20" x14ac:dyDescent="0.25">
      <c r="A89" s="158"/>
      <c r="B89" s="603"/>
      <c r="C89" s="601"/>
      <c r="D89" s="661">
        <f ca="1">IFERROR(Display!I54,"")</f>
        <v>173.39999999999998</v>
      </c>
      <c r="E89" s="731">
        <f ca="1">IFERROR(Display!J54,"")</f>
        <v>122.92417734399675</v>
      </c>
      <c r="F89" s="655">
        <f ca="1">IFERROR(Display!K54,"")</f>
        <v>360</v>
      </c>
      <c r="G89" s="734">
        <f ca="1">IFERROR(Display!L54,"")</f>
        <v>154.75237058225048</v>
      </c>
      <c r="H89" s="658"/>
      <c r="I89" s="664">
        <f ca="1">IFERROR(Display!M54,"")</f>
        <v>780</v>
      </c>
      <c r="J89" s="737">
        <f ca="1">IFERROR(Display!N54,"")</f>
        <v>122.92417734399675</v>
      </c>
      <c r="K89" s="672">
        <f ca="1">Display!O54</f>
        <v>780</v>
      </c>
      <c r="L89" s="739">
        <f ca="1">Display!P54</f>
        <v>3.0877157317486264E-5</v>
      </c>
      <c r="M89" s="601"/>
      <c r="N89" s="602"/>
      <c r="O89" s="387"/>
      <c r="P89" s="391"/>
    </row>
    <row r="90" spans="1:20" x14ac:dyDescent="0.25">
      <c r="A90" s="158"/>
      <c r="B90" s="603"/>
      <c r="C90" s="601"/>
      <c r="D90" s="661">
        <f ca="1">IFERROR(Display!I55,"")</f>
        <v>195</v>
      </c>
      <c r="E90" s="731">
        <f ca="1">IFERROR(Display!J55,"")</f>
        <v>97.642144794591459</v>
      </c>
      <c r="F90" s="655">
        <f ca="1">IFERROR(Display!K55,"")</f>
        <v>405</v>
      </c>
      <c r="G90" s="734">
        <f ca="1">IFERROR(Display!L55,"")</f>
        <v>137.9231954598516</v>
      </c>
      <c r="H90" s="658"/>
      <c r="I90" s="664">
        <f ca="1">IFERROR(Display!M55,"")</f>
        <v>877.5</v>
      </c>
      <c r="J90" s="737">
        <f ca="1">IFERROR(Display!N55,"")</f>
        <v>87.023653149570706</v>
      </c>
      <c r="K90" s="672">
        <f ca="1">Display!O55</f>
        <v>877.5</v>
      </c>
      <c r="L90" s="739">
        <f ca="1">Display!P55</f>
        <v>2.7519295426112869E-5</v>
      </c>
      <c r="M90" s="601"/>
      <c r="N90" s="602"/>
      <c r="O90" s="387"/>
      <c r="P90" s="391"/>
    </row>
    <row r="91" spans="1:20" ht="12.75" customHeight="1" x14ac:dyDescent="0.25">
      <c r="A91" s="158"/>
      <c r="B91" s="603"/>
      <c r="C91" s="601"/>
      <c r="D91" s="661">
        <f ca="1">IFERROR(Display!I56,"")</f>
        <v>216.60000000000002</v>
      </c>
      <c r="E91" s="731">
        <f ca="1">IFERROR(Display!J56,"")</f>
        <v>69.125344785556663</v>
      </c>
      <c r="F91" s="655">
        <f ca="1">IFERROR(Display!K56,"")</f>
        <v>450</v>
      </c>
      <c r="G91" s="734">
        <f ca="1">IFERROR(Display!L56,"")</f>
        <v>77.559912509380538</v>
      </c>
      <c r="H91" s="658"/>
      <c r="I91" s="664">
        <f ca="1">IFERROR(Display!M56,"")</f>
        <v>975</v>
      </c>
      <c r="J91" s="737">
        <f ca="1">IFERROR(Display!N56,"")</f>
        <v>87.023653149570706</v>
      </c>
      <c r="K91" s="672">
        <f ca="1">Display!O56</f>
        <v>975</v>
      </c>
      <c r="L91" s="739">
        <f ca="1">Display!P56</f>
        <v>2.7519295426112869E-5</v>
      </c>
      <c r="M91" s="601"/>
      <c r="N91" s="602"/>
      <c r="O91" s="387"/>
      <c r="P91" s="391"/>
    </row>
    <row r="92" spans="1:20" x14ac:dyDescent="0.25">
      <c r="A92" s="158"/>
      <c r="B92" s="603"/>
      <c r="C92" s="601"/>
      <c r="D92" s="661" t="str">
        <f ca="1">IFERROR(Display!I57,"")</f>
        <v/>
      </c>
      <c r="E92" s="731" t="str">
        <f ca="1">IFERROR(Display!J57,"")</f>
        <v/>
      </c>
      <c r="F92" s="655" t="str">
        <f ca="1">IFERROR(Display!K57,"")</f>
        <v/>
      </c>
      <c r="G92" s="734" t="str">
        <f ca="1">IFERROR(Display!L57,"")</f>
        <v/>
      </c>
      <c r="H92" s="658"/>
      <c r="I92" s="664">
        <f ca="1">IFERROR(Display!M57,"")</f>
        <v>1170</v>
      </c>
      <c r="J92" s="737">
        <f ca="1">IFERROR(Display!N57,"")</f>
        <v>48.936996435034871</v>
      </c>
      <c r="K92" s="672">
        <f ca="1">Display!O57</f>
        <v>1170</v>
      </c>
      <c r="L92" s="739">
        <f ca="1">Display!P57</f>
        <v>2.4526597865302789E-5</v>
      </c>
      <c r="M92" s="601"/>
      <c r="N92" s="602"/>
      <c r="O92" s="387"/>
      <c r="P92" s="391"/>
    </row>
    <row r="93" spans="1:20" x14ac:dyDescent="0.25">
      <c r="A93" s="158"/>
      <c r="B93" s="603"/>
      <c r="C93" s="601"/>
      <c r="D93" s="661" t="str">
        <f ca="1">IFERROR(Display!I58,"")</f>
        <v/>
      </c>
      <c r="E93" s="731" t="str">
        <f ca="1">IFERROR(Display!J58,"")</f>
        <v/>
      </c>
      <c r="F93" s="655" t="str">
        <f ca="1">IFERROR(Display!K58,"")</f>
        <v/>
      </c>
      <c r="G93" s="734" t="str">
        <f ca="1">IFERROR(Display!L58,"")</f>
        <v/>
      </c>
      <c r="H93" s="658"/>
      <c r="I93" s="664">
        <f ca="1">IFERROR(Display!M58,"")</f>
        <v>1299.9000000000001</v>
      </c>
      <c r="J93" s="737">
        <f ca="1">IFERROR(Display!N58,"")</f>
        <v>30.877157317486262</v>
      </c>
      <c r="K93" s="672">
        <f ca="1">Display!O58</f>
        <v>1300.0500000000002</v>
      </c>
      <c r="L93" s="739">
        <f ca="1">Display!P58</f>
        <v>2.1859353356680235E-5</v>
      </c>
      <c r="M93" s="601"/>
      <c r="N93" s="602"/>
      <c r="O93" s="387"/>
      <c r="P93" s="391"/>
    </row>
    <row r="94" spans="1:20" x14ac:dyDescent="0.25">
      <c r="A94" s="158"/>
      <c r="B94" s="603"/>
      <c r="C94" s="601"/>
      <c r="D94" s="662" t="str">
        <f ca="1">IFERROR(Display!I59,"")</f>
        <v/>
      </c>
      <c r="E94" s="732" t="str">
        <f ca="1">IFERROR(Display!J59,"")</f>
        <v/>
      </c>
      <c r="F94" s="656" t="str">
        <f ca="1">IFERROR(Display!K59,"")</f>
        <v/>
      </c>
      <c r="G94" s="735" t="str">
        <f ca="1">IFERROR(Display!L59,"")</f>
        <v/>
      </c>
      <c r="H94" s="659"/>
      <c r="I94" s="665" t="str">
        <f ca="1">IFERROR(Display!M59,"")</f>
        <v/>
      </c>
      <c r="J94" s="738" t="str">
        <f ca="1">IFERROR(Display!N59,"")</f>
        <v/>
      </c>
      <c r="K94" s="666"/>
      <c r="L94" s="740"/>
      <c r="M94" s="601"/>
      <c r="N94" s="602"/>
      <c r="O94" s="387"/>
      <c r="P94" s="391"/>
    </row>
    <row r="95" spans="1:20" x14ac:dyDescent="0.25">
      <c r="A95" s="158"/>
      <c r="B95" s="604"/>
      <c r="C95" s="605"/>
      <c r="D95" s="605"/>
      <c r="E95" s="605"/>
      <c r="F95" s="605"/>
      <c r="G95" s="605"/>
      <c r="H95" s="606"/>
      <c r="I95" s="606"/>
      <c r="J95" s="606"/>
      <c r="K95" s="606"/>
      <c r="L95" s="606"/>
      <c r="M95" s="606"/>
      <c r="N95" s="607"/>
      <c r="O95" s="387"/>
      <c r="P95" s="391"/>
      <c r="Q95" s="391"/>
      <c r="R95" s="391"/>
      <c r="S95" s="391"/>
      <c r="T95" s="391"/>
    </row>
    <row r="96" spans="1:20" ht="14" x14ac:dyDescent="0.3">
      <c r="A96" s="158"/>
      <c r="B96" s="387"/>
      <c r="C96" s="387"/>
      <c r="D96" s="387"/>
      <c r="E96" s="387"/>
      <c r="F96" s="393"/>
      <c r="G96" s="387"/>
      <c r="H96" s="387"/>
      <c r="I96" s="387"/>
      <c r="J96" s="387"/>
      <c r="K96" s="387"/>
      <c r="L96" s="387"/>
      <c r="M96" s="387"/>
      <c r="N96" s="387"/>
      <c r="O96" s="387"/>
      <c r="P96" s="391"/>
      <c r="Q96" s="391"/>
      <c r="R96" s="391"/>
      <c r="S96" s="391"/>
      <c r="T96" s="391"/>
    </row>
    <row r="97" spans="1:20" x14ac:dyDescent="0.25">
      <c r="A97" s="158"/>
      <c r="B97" s="568"/>
      <c r="C97" s="568"/>
      <c r="D97" s="568"/>
      <c r="E97" s="568"/>
      <c r="F97" s="568"/>
      <c r="G97" s="568"/>
      <c r="H97" s="568"/>
      <c r="I97" s="568"/>
      <c r="J97" s="568"/>
      <c r="K97" s="568"/>
      <c r="L97" s="568"/>
      <c r="M97" s="568"/>
      <c r="N97" s="568"/>
      <c r="O97" s="394"/>
      <c r="P97" s="395"/>
      <c r="Q97" s="395"/>
      <c r="R97" s="395"/>
      <c r="S97" s="391"/>
      <c r="T97" s="391"/>
    </row>
    <row r="98" spans="1:20" ht="36" customHeight="1" thickBot="1" x14ac:dyDescent="0.3">
      <c r="A98" s="158"/>
      <c r="B98" s="560"/>
      <c r="C98" s="561"/>
      <c r="D98" s="561"/>
      <c r="E98" s="562"/>
      <c r="F98" s="561"/>
      <c r="G98" s="561"/>
      <c r="H98" s="562"/>
      <c r="I98" s="561"/>
      <c r="J98" s="561"/>
      <c r="K98" s="561"/>
      <c r="L98" s="561"/>
      <c r="M98" s="561"/>
      <c r="N98" s="563"/>
      <c r="O98" s="396"/>
    </row>
    <row r="99" spans="1:20" ht="12.75" customHeight="1" x14ac:dyDescent="0.25">
      <c r="A99" s="158"/>
      <c r="B99" s="553"/>
      <c r="C99" s="564"/>
      <c r="D99" s="574" t="str">
        <f>LanguageTable!B26</f>
        <v>Point A antenna system gain [dBm]</v>
      </c>
      <c r="E99" s="575" t="str">
        <f>LanguageTable!B27</f>
        <v>Point B antenna system gain [dBm]</v>
      </c>
      <c r="F99" s="554"/>
      <c r="G99" s="814" t="str">
        <f>LanguageTable!B30</f>
        <v>To check which Wi-Fi chipset is used in your LANCOM access point just open LANmonitor and look under -&gt; System information -&gt; Interfaces -&gt; WLAN as shown in the picture below.</v>
      </c>
      <c r="H99" s="815"/>
      <c r="I99" s="815"/>
      <c r="J99" s="815"/>
      <c r="K99" s="815"/>
      <c r="L99" s="815"/>
      <c r="M99" s="816"/>
      <c r="N99" s="555"/>
      <c r="O99" s="394"/>
    </row>
    <row r="100" spans="1:20" ht="12.75" customHeight="1" x14ac:dyDescent="0.25">
      <c r="A100" s="158"/>
      <c r="B100" s="572"/>
      <c r="C100" s="564"/>
      <c r="D100" s="809" t="str">
        <f>LanguageTable!B28</f>
        <v>Antenna gain reduced by cable and other attenuations (for configuration in LANconfig)</v>
      </c>
      <c r="E100" s="809" t="str">
        <f>LanguageTable!B28</f>
        <v>Antenna gain reduced by cable and other attenuations (for configuration in LANconfig)</v>
      </c>
      <c r="F100" s="565"/>
      <c r="G100" s="817"/>
      <c r="H100" s="818"/>
      <c r="I100" s="818"/>
      <c r="J100" s="818"/>
      <c r="K100" s="818"/>
      <c r="L100" s="818"/>
      <c r="M100" s="819"/>
      <c r="N100" s="566"/>
      <c r="O100" s="394"/>
    </row>
    <row r="101" spans="1:20" x14ac:dyDescent="0.25">
      <c r="A101" s="387"/>
      <c r="B101" s="572"/>
      <c r="C101" s="564"/>
      <c r="D101" s="809"/>
      <c r="E101" s="809"/>
      <c r="F101" s="554"/>
      <c r="G101" s="817"/>
      <c r="H101" s="818"/>
      <c r="I101" s="818"/>
      <c r="J101" s="818"/>
      <c r="K101" s="818"/>
      <c r="L101" s="818"/>
      <c r="M101" s="819"/>
      <c r="N101" s="566"/>
      <c r="O101" s="394"/>
    </row>
    <row r="102" spans="1:20" x14ac:dyDescent="0.25">
      <c r="A102" s="387"/>
      <c r="B102" s="572"/>
      <c r="C102" s="564"/>
      <c r="D102" s="809"/>
      <c r="E102" s="809"/>
      <c r="F102" s="554"/>
      <c r="G102" s="811" t="str">
        <f>LanguageTable!B29</f>
        <v>Back to the calculator.</v>
      </c>
      <c r="H102" s="812"/>
      <c r="I102" s="812"/>
      <c r="J102" s="812"/>
      <c r="K102" s="812"/>
      <c r="L102" s="812"/>
      <c r="M102" s="813"/>
      <c r="N102" s="566"/>
      <c r="O102" s="394"/>
    </row>
    <row r="103" spans="1:20" ht="13.5" thickBot="1" x14ac:dyDescent="0.35">
      <c r="A103" s="387"/>
      <c r="B103" s="572"/>
      <c r="C103" s="564"/>
      <c r="D103" s="810"/>
      <c r="E103" s="810"/>
      <c r="F103" s="554"/>
      <c r="G103" s="567"/>
      <c r="H103" s="554"/>
      <c r="I103" s="554"/>
      <c r="J103" s="554"/>
      <c r="K103" s="554"/>
      <c r="L103" s="554"/>
      <c r="M103" s="554"/>
      <c r="N103" s="566"/>
      <c r="O103" s="394"/>
    </row>
    <row r="104" spans="1:20" ht="13" thickBot="1" x14ac:dyDescent="0.3">
      <c r="A104" s="387"/>
      <c r="B104" s="572"/>
      <c r="C104" s="564"/>
      <c r="D104" s="397">
        <f ca="1">Calc!E5</f>
        <v>3.5</v>
      </c>
      <c r="E104" s="397">
        <f ca="1">Calc!D5</f>
        <v>3.5</v>
      </c>
      <c r="F104" s="554"/>
      <c r="G104" s="554"/>
      <c r="H104" s="554"/>
      <c r="I104" s="554"/>
      <c r="J104" s="554"/>
      <c r="K104" s="554"/>
      <c r="L104" s="554"/>
      <c r="M104" s="554"/>
      <c r="N104" s="566"/>
      <c r="O104" s="394"/>
    </row>
    <row r="105" spans="1:20" ht="13" x14ac:dyDescent="0.3">
      <c r="A105" s="387"/>
      <c r="B105" s="572"/>
      <c r="C105" s="554"/>
      <c r="D105" s="554"/>
      <c r="E105" s="554"/>
      <c r="F105" s="554"/>
      <c r="G105" s="554"/>
      <c r="H105" s="554"/>
      <c r="I105" s="567"/>
      <c r="J105" s="567"/>
      <c r="K105" s="567"/>
      <c r="L105" s="567"/>
      <c r="M105" s="567"/>
      <c r="N105" s="566"/>
      <c r="O105" s="394"/>
    </row>
    <row r="106" spans="1:20" ht="13" x14ac:dyDescent="0.3">
      <c r="A106" s="387"/>
      <c r="B106" s="572"/>
      <c r="C106" s="554"/>
      <c r="D106" s="554"/>
      <c r="E106" s="554"/>
      <c r="F106" s="554"/>
      <c r="G106" s="567"/>
      <c r="H106" s="554"/>
      <c r="I106" s="554"/>
      <c r="J106" s="554"/>
      <c r="K106" s="554"/>
      <c r="L106" s="554"/>
      <c r="M106" s="554"/>
      <c r="N106" s="566"/>
      <c r="O106" s="394"/>
    </row>
    <row r="107" spans="1:20" x14ac:dyDescent="0.25">
      <c r="A107" s="387"/>
      <c r="B107" s="572"/>
      <c r="C107" s="568"/>
      <c r="D107" s="568"/>
      <c r="E107" s="568"/>
      <c r="F107" s="568"/>
      <c r="G107" s="554"/>
      <c r="H107" s="554"/>
      <c r="I107" s="554"/>
      <c r="J107" s="554"/>
      <c r="K107" s="554"/>
      <c r="L107" s="554"/>
      <c r="M107" s="554"/>
      <c r="N107" s="566"/>
      <c r="O107" s="394"/>
    </row>
    <row r="108" spans="1:20" ht="13" x14ac:dyDescent="0.3">
      <c r="A108" s="387"/>
      <c r="B108" s="572"/>
      <c r="C108" s="568"/>
      <c r="D108" s="568"/>
      <c r="E108" s="568"/>
      <c r="F108" s="568"/>
      <c r="G108" s="567"/>
      <c r="H108" s="554"/>
      <c r="I108" s="554"/>
      <c r="J108" s="554"/>
      <c r="K108" s="554"/>
      <c r="L108" s="554"/>
      <c r="M108" s="554"/>
      <c r="N108" s="566"/>
      <c r="O108" s="394"/>
    </row>
    <row r="109" spans="1:20" ht="13" x14ac:dyDescent="0.3">
      <c r="A109" s="387"/>
      <c r="B109" s="572"/>
      <c r="C109" s="568"/>
      <c r="D109" s="568"/>
      <c r="E109" s="568"/>
      <c r="F109" s="568"/>
      <c r="G109" s="567"/>
      <c r="H109" s="554"/>
      <c r="I109" s="554"/>
      <c r="J109" s="554"/>
      <c r="K109" s="554"/>
      <c r="L109" s="554"/>
      <c r="M109" s="554"/>
      <c r="N109" s="566"/>
      <c r="O109" s="394"/>
    </row>
    <row r="110" spans="1:20" ht="13" x14ac:dyDescent="0.3">
      <c r="A110" s="387"/>
      <c r="B110" s="572"/>
      <c r="C110" s="568"/>
      <c r="D110" s="568"/>
      <c r="E110" s="568"/>
      <c r="F110" s="568"/>
      <c r="G110" s="567"/>
      <c r="H110" s="554"/>
      <c r="I110" s="554"/>
      <c r="J110" s="554"/>
      <c r="K110" s="554"/>
      <c r="L110" s="554"/>
      <c r="M110" s="554"/>
      <c r="N110" s="566"/>
      <c r="O110" s="394"/>
    </row>
    <row r="111" spans="1:20" ht="13" x14ac:dyDescent="0.3">
      <c r="A111" s="387"/>
      <c r="B111" s="572"/>
      <c r="C111" s="564"/>
      <c r="D111" s="564"/>
      <c r="E111" s="564"/>
      <c r="F111" s="564"/>
      <c r="G111" s="567"/>
      <c r="H111" s="554"/>
      <c r="I111" s="554"/>
      <c r="J111" s="554"/>
      <c r="K111" s="554"/>
      <c r="L111" s="554"/>
      <c r="M111" s="554"/>
      <c r="N111" s="566"/>
      <c r="O111" s="394"/>
    </row>
    <row r="112" spans="1:20" ht="13" x14ac:dyDescent="0.3">
      <c r="A112" s="158"/>
      <c r="B112" s="572"/>
      <c r="C112" s="564"/>
      <c r="D112" s="564"/>
      <c r="E112" s="564"/>
      <c r="F112" s="564"/>
      <c r="G112" s="567"/>
      <c r="H112" s="554"/>
      <c r="I112" s="554"/>
      <c r="J112" s="554"/>
      <c r="K112" s="554"/>
      <c r="L112" s="554"/>
      <c r="M112" s="554"/>
      <c r="N112" s="566"/>
      <c r="O112" s="394"/>
    </row>
    <row r="113" spans="1:15" ht="12.75" customHeight="1" x14ac:dyDescent="0.25">
      <c r="A113" s="158"/>
      <c r="B113" s="572"/>
      <c r="C113" s="564"/>
      <c r="D113" s="564"/>
      <c r="E113" s="564"/>
      <c r="F113" s="564"/>
      <c r="G113" s="564"/>
      <c r="H113" s="565"/>
      <c r="I113" s="568"/>
      <c r="J113" s="568"/>
      <c r="K113" s="554"/>
      <c r="L113" s="568"/>
      <c r="M113" s="568"/>
      <c r="N113" s="566"/>
      <c r="O113" s="394"/>
    </row>
    <row r="114" spans="1:15" x14ac:dyDescent="0.25">
      <c r="A114" s="158"/>
      <c r="B114" s="572"/>
      <c r="C114" s="564"/>
      <c r="D114" s="564"/>
      <c r="E114" s="564"/>
      <c r="F114" s="564"/>
      <c r="G114" s="564"/>
      <c r="H114" s="565"/>
      <c r="I114" s="568"/>
      <c r="J114" s="568"/>
      <c r="K114" s="554"/>
      <c r="L114" s="568"/>
      <c r="M114" s="568"/>
      <c r="N114" s="566"/>
      <c r="O114" s="394"/>
    </row>
    <row r="115" spans="1:15" x14ac:dyDescent="0.25">
      <c r="A115" s="158"/>
      <c r="B115" s="572"/>
      <c r="C115" s="564"/>
      <c r="D115" s="564"/>
      <c r="E115" s="564"/>
      <c r="F115" s="564"/>
      <c r="G115" s="564"/>
      <c r="H115" s="565"/>
      <c r="I115" s="568"/>
      <c r="J115" s="568"/>
      <c r="K115" s="554"/>
      <c r="L115" s="568"/>
      <c r="M115" s="568"/>
      <c r="N115" s="566"/>
      <c r="O115" s="394"/>
    </row>
    <row r="116" spans="1:15" x14ac:dyDescent="0.25">
      <c r="A116" s="158"/>
      <c r="B116" s="572"/>
      <c r="C116" s="564"/>
      <c r="D116" s="564"/>
      <c r="E116" s="564"/>
      <c r="F116" s="564"/>
      <c r="G116" s="564"/>
      <c r="H116" s="565"/>
      <c r="I116" s="568"/>
      <c r="J116" s="568"/>
      <c r="K116" s="554"/>
      <c r="L116" s="568"/>
      <c r="M116" s="568"/>
      <c r="N116" s="566"/>
      <c r="O116" s="387"/>
    </row>
    <row r="117" spans="1:15" x14ac:dyDescent="0.25">
      <c r="A117" s="385"/>
      <c r="B117" s="553"/>
      <c r="C117" s="564" t="b">
        <v>1</v>
      </c>
      <c r="D117" s="564"/>
      <c r="E117" s="564"/>
      <c r="F117" s="564"/>
      <c r="G117" s="564"/>
      <c r="H117" s="554"/>
      <c r="I117" s="568"/>
      <c r="J117" s="568"/>
      <c r="K117" s="554"/>
      <c r="L117" s="568"/>
      <c r="M117" s="568"/>
      <c r="N117" s="555"/>
      <c r="O117" s="387"/>
    </row>
    <row r="118" spans="1:15" x14ac:dyDescent="0.25">
      <c r="A118" s="158"/>
      <c r="B118" s="553"/>
      <c r="C118" s="554"/>
      <c r="D118" s="554"/>
      <c r="E118" s="554"/>
      <c r="F118" s="554"/>
      <c r="G118" s="554"/>
      <c r="H118" s="554"/>
      <c r="I118" s="554"/>
      <c r="J118" s="554"/>
      <c r="K118" s="554"/>
      <c r="L118" s="554"/>
      <c r="M118" s="554"/>
      <c r="N118" s="555"/>
      <c r="O118" s="387"/>
    </row>
    <row r="119" spans="1:15" ht="12.75" customHeight="1" x14ac:dyDescent="0.25">
      <c r="A119" s="158"/>
      <c r="B119" s="553"/>
      <c r="C119" s="568"/>
      <c r="D119" s="568"/>
      <c r="E119" s="568"/>
      <c r="F119" s="568"/>
      <c r="G119" s="568"/>
      <c r="H119" s="554"/>
      <c r="I119" s="554"/>
      <c r="J119" s="554"/>
      <c r="K119" s="554"/>
      <c r="L119" s="554"/>
      <c r="M119" s="554"/>
      <c r="N119" s="555"/>
      <c r="O119" s="387"/>
    </row>
    <row r="120" spans="1:15" x14ac:dyDescent="0.25">
      <c r="A120" s="158"/>
      <c r="B120" s="553"/>
      <c r="C120" s="568"/>
      <c r="D120" s="568"/>
      <c r="E120" s="568"/>
      <c r="F120" s="568"/>
      <c r="G120" s="568"/>
      <c r="H120" s="554"/>
      <c r="I120" s="554"/>
      <c r="J120" s="554"/>
      <c r="K120" s="554"/>
      <c r="L120" s="554"/>
      <c r="M120" s="554"/>
      <c r="N120" s="555"/>
      <c r="O120" s="387"/>
    </row>
    <row r="121" spans="1:15" x14ac:dyDescent="0.25">
      <c r="A121" s="158"/>
      <c r="B121" s="553"/>
      <c r="C121" s="564"/>
      <c r="D121" s="564"/>
      <c r="E121" s="564"/>
      <c r="F121" s="564"/>
      <c r="G121" s="564"/>
      <c r="H121" s="569"/>
      <c r="I121" s="554"/>
      <c r="J121" s="554"/>
      <c r="K121" s="554"/>
      <c r="L121" s="554"/>
      <c r="M121" s="554"/>
      <c r="N121" s="555"/>
      <c r="O121" s="387"/>
    </row>
    <row r="122" spans="1:15" x14ac:dyDescent="0.25">
      <c r="A122" s="158"/>
      <c r="B122" s="553"/>
      <c r="C122" s="564"/>
      <c r="D122" s="564"/>
      <c r="E122" s="564"/>
      <c r="F122" s="564"/>
      <c r="G122" s="564"/>
      <c r="H122" s="554"/>
      <c r="I122" s="554"/>
      <c r="J122" s="554"/>
      <c r="K122" s="554"/>
      <c r="L122" s="554"/>
      <c r="M122" s="554"/>
      <c r="N122" s="555"/>
      <c r="O122" s="387"/>
    </row>
    <row r="123" spans="1:15" ht="12.75" customHeight="1" x14ac:dyDescent="0.25">
      <c r="A123" s="158"/>
      <c r="B123" s="553"/>
      <c r="C123" s="564"/>
      <c r="D123" s="564"/>
      <c r="E123" s="564"/>
      <c r="F123" s="564"/>
      <c r="G123" s="564"/>
      <c r="H123" s="554"/>
      <c r="I123" s="554"/>
      <c r="J123" s="554"/>
      <c r="K123" s="554"/>
      <c r="L123" s="554"/>
      <c r="M123" s="554"/>
      <c r="N123" s="555"/>
      <c r="O123" s="387"/>
    </row>
    <row r="124" spans="1:15" x14ac:dyDescent="0.25">
      <c r="A124" s="158"/>
      <c r="B124" s="553"/>
      <c r="C124" s="564"/>
      <c r="D124" s="564"/>
      <c r="E124" s="564"/>
      <c r="F124" s="564"/>
      <c r="G124" s="564"/>
      <c r="H124" s="568"/>
      <c r="I124" s="554"/>
      <c r="J124" s="554"/>
      <c r="K124" s="554"/>
      <c r="L124" s="554"/>
      <c r="M124" s="554"/>
      <c r="N124" s="555"/>
      <c r="O124" s="387"/>
    </row>
    <row r="125" spans="1:15" ht="12.75" customHeight="1" x14ac:dyDescent="0.25">
      <c r="A125" s="158"/>
      <c r="B125" s="553"/>
      <c r="C125" s="564"/>
      <c r="D125" s="564"/>
      <c r="E125" s="564"/>
      <c r="F125" s="564"/>
      <c r="G125" s="564"/>
      <c r="H125" s="568"/>
      <c r="I125" s="554"/>
      <c r="J125" s="554"/>
      <c r="K125" s="554"/>
      <c r="L125" s="554"/>
      <c r="M125" s="554"/>
      <c r="N125" s="555"/>
      <c r="O125" s="387"/>
    </row>
    <row r="126" spans="1:15" x14ac:dyDescent="0.25">
      <c r="A126" s="158"/>
      <c r="B126" s="553"/>
      <c r="C126" s="564"/>
      <c r="D126" s="564"/>
      <c r="E126" s="564"/>
      <c r="F126" s="564"/>
      <c r="G126" s="564"/>
      <c r="H126" s="554"/>
      <c r="I126" s="564"/>
      <c r="J126" s="564"/>
      <c r="K126" s="564"/>
      <c r="L126" s="564"/>
      <c r="M126" s="564"/>
      <c r="N126" s="555"/>
      <c r="O126" s="387"/>
    </row>
    <row r="127" spans="1:15" ht="12.75" customHeight="1" x14ac:dyDescent="0.25">
      <c r="A127" s="158"/>
      <c r="B127" s="553"/>
      <c r="C127" s="564"/>
      <c r="D127" s="564"/>
      <c r="E127" s="564"/>
      <c r="F127" s="564"/>
      <c r="G127" s="564"/>
      <c r="H127" s="554"/>
      <c r="I127" s="564"/>
      <c r="J127" s="564"/>
      <c r="K127" s="564"/>
      <c r="L127" s="564"/>
      <c r="M127" s="564"/>
      <c r="N127" s="555"/>
      <c r="O127" s="387"/>
    </row>
    <row r="128" spans="1:15" x14ac:dyDescent="0.25">
      <c r="A128" s="158"/>
      <c r="B128" s="553"/>
      <c r="C128" s="554"/>
      <c r="D128" s="554"/>
      <c r="E128" s="554"/>
      <c r="F128" s="554"/>
      <c r="G128" s="554"/>
      <c r="H128" s="554"/>
      <c r="I128" s="564"/>
      <c r="J128" s="564"/>
      <c r="K128" s="564"/>
      <c r="L128" s="564"/>
      <c r="M128" s="564"/>
      <c r="N128" s="555"/>
      <c r="O128" s="387"/>
    </row>
    <row r="129" spans="1:20" x14ac:dyDescent="0.25">
      <c r="A129" s="158"/>
      <c r="B129" s="553"/>
      <c r="C129" s="554"/>
      <c r="D129" s="554"/>
      <c r="E129" s="554"/>
      <c r="F129" s="554"/>
      <c r="G129" s="554"/>
      <c r="H129" s="554"/>
      <c r="I129" s="564"/>
      <c r="J129" s="564"/>
      <c r="K129" s="564"/>
      <c r="L129" s="564"/>
      <c r="M129" s="564"/>
      <c r="N129" s="555"/>
      <c r="O129" s="387"/>
    </row>
    <row r="130" spans="1:20" ht="13" thickBot="1" x14ac:dyDescent="0.3">
      <c r="A130" s="158"/>
      <c r="B130" s="573"/>
      <c r="C130" s="570"/>
      <c r="D130" s="570"/>
      <c r="E130" s="570"/>
      <c r="F130" s="570"/>
      <c r="G130" s="570"/>
      <c r="H130" s="570"/>
      <c r="I130" s="570"/>
      <c r="J130" s="570"/>
      <c r="K130" s="570"/>
      <c r="L130" s="570"/>
      <c r="M130" s="570"/>
      <c r="N130" s="571"/>
      <c r="O130" s="387"/>
    </row>
    <row r="131" spans="1:20" ht="13" thickTop="1" x14ac:dyDescent="0.25">
      <c r="A131" s="158"/>
      <c r="B131" s="553"/>
      <c r="C131" s="554"/>
      <c r="D131" s="554"/>
      <c r="E131" s="554"/>
      <c r="F131" s="554"/>
      <c r="G131" s="554"/>
      <c r="H131" s="554"/>
      <c r="I131" s="554"/>
      <c r="J131" s="554"/>
      <c r="K131" s="554"/>
      <c r="L131" s="554"/>
      <c r="M131" s="554"/>
      <c r="N131" s="555"/>
      <c r="O131" s="387"/>
    </row>
    <row r="132" spans="1:20" ht="12.75" customHeight="1" x14ac:dyDescent="0.35">
      <c r="A132" s="158"/>
      <c r="B132" s="553"/>
      <c r="C132" s="808" t="str">
        <f>LanguageTable!B31</f>
        <v>Disclaimer</v>
      </c>
      <c r="D132" s="808"/>
      <c r="E132" s="808"/>
      <c r="F132" s="808"/>
      <c r="G132" s="808"/>
      <c r="H132" s="808"/>
      <c r="I132" s="808"/>
      <c r="J132" s="808"/>
      <c r="K132" s="808"/>
      <c r="L132" s="808"/>
      <c r="M132" s="808"/>
      <c r="N132" s="555"/>
      <c r="O132" s="387"/>
    </row>
    <row r="133" spans="1:20" x14ac:dyDescent="0.25">
      <c r="A133" s="158"/>
      <c r="B133" s="553"/>
      <c r="C133" s="807" t="str">
        <f>LanguageTable!B32</f>
        <v>The presented results are based on ideal conditions giving the maximum theoretical reliable link distance. Various obstacles in the 'real world' will cause dynamic and complex interferences that are too numerous to be covered by this calculator. Therefore all results have only theoretical value and LANCOM Systems cannot guarantee the displayed maximum distances and data rates in a life environment.</v>
      </c>
      <c r="D133" s="807"/>
      <c r="E133" s="807"/>
      <c r="F133" s="807"/>
      <c r="G133" s="807"/>
      <c r="H133" s="807"/>
      <c r="I133" s="807"/>
      <c r="J133" s="807"/>
      <c r="K133" s="807"/>
      <c r="L133" s="807"/>
      <c r="M133" s="807"/>
      <c r="N133" s="555"/>
      <c r="O133" s="387"/>
    </row>
    <row r="134" spans="1:20" x14ac:dyDescent="0.25">
      <c r="A134" s="158"/>
      <c r="B134" s="553"/>
      <c r="C134" s="807"/>
      <c r="D134" s="807"/>
      <c r="E134" s="807"/>
      <c r="F134" s="807"/>
      <c r="G134" s="807"/>
      <c r="H134" s="807"/>
      <c r="I134" s="807"/>
      <c r="J134" s="807"/>
      <c r="K134" s="807"/>
      <c r="L134" s="807"/>
      <c r="M134" s="807"/>
      <c r="N134" s="555"/>
      <c r="O134" s="387"/>
    </row>
    <row r="135" spans="1:20" x14ac:dyDescent="0.25">
      <c r="A135" s="158"/>
      <c r="B135" s="553"/>
      <c r="C135" s="807"/>
      <c r="D135" s="807"/>
      <c r="E135" s="807"/>
      <c r="F135" s="807"/>
      <c r="G135" s="807"/>
      <c r="H135" s="807"/>
      <c r="I135" s="807"/>
      <c r="J135" s="807"/>
      <c r="K135" s="807"/>
      <c r="L135" s="807"/>
      <c r="M135" s="807"/>
      <c r="N135" s="555"/>
      <c r="O135" s="387"/>
    </row>
    <row r="136" spans="1:20" x14ac:dyDescent="0.25">
      <c r="A136" s="158"/>
      <c r="B136" s="553"/>
      <c r="C136" s="807"/>
      <c r="D136" s="807"/>
      <c r="E136" s="807"/>
      <c r="F136" s="807"/>
      <c r="G136" s="807"/>
      <c r="H136" s="807"/>
      <c r="I136" s="807"/>
      <c r="J136" s="807"/>
      <c r="K136" s="807"/>
      <c r="L136" s="807"/>
      <c r="M136" s="807"/>
      <c r="N136" s="555"/>
      <c r="O136" s="387"/>
    </row>
    <row r="137" spans="1:20" ht="14" x14ac:dyDescent="0.3">
      <c r="A137" s="385"/>
      <c r="B137" s="556"/>
      <c r="C137" s="557"/>
      <c r="D137" s="557"/>
      <c r="E137" s="557"/>
      <c r="F137" s="558"/>
      <c r="G137" s="557"/>
      <c r="H137" s="557"/>
      <c r="I137" s="557"/>
      <c r="J137" s="557"/>
      <c r="K137" s="557"/>
      <c r="L137" s="557"/>
      <c r="M137" s="557"/>
      <c r="N137" s="559"/>
      <c r="O137" s="391"/>
    </row>
    <row r="138" spans="1:20" x14ac:dyDescent="0.25">
      <c r="A138" s="554"/>
      <c r="B138" s="554"/>
      <c r="C138" s="564"/>
      <c r="D138" s="564"/>
      <c r="E138" s="564"/>
      <c r="F138" s="564"/>
      <c r="G138" s="564"/>
      <c r="H138" s="564"/>
      <c r="I138" s="564"/>
      <c r="J138" s="564"/>
      <c r="K138" s="564"/>
      <c r="L138" s="564"/>
      <c r="M138" s="564"/>
      <c r="N138" s="554"/>
      <c r="O138" s="391"/>
      <c r="P138" s="391"/>
      <c r="Q138" s="391"/>
      <c r="R138" s="391"/>
      <c r="S138" s="391"/>
      <c r="T138" s="391"/>
    </row>
    <row r="139" spans="1:20" x14ac:dyDescent="0.25">
      <c r="A139" s="391"/>
      <c r="B139" s="391"/>
      <c r="C139" s="398"/>
      <c r="D139" s="398"/>
      <c r="E139" s="398"/>
      <c r="F139" s="398"/>
      <c r="G139" s="398"/>
      <c r="H139" s="398"/>
      <c r="I139" s="398"/>
      <c r="J139" s="398"/>
      <c r="K139" s="398"/>
      <c r="L139" s="398"/>
      <c r="M139" s="398"/>
      <c r="N139" s="391"/>
      <c r="O139" s="391"/>
      <c r="P139" s="391"/>
      <c r="Q139" s="391"/>
      <c r="R139" s="391"/>
      <c r="S139" s="391"/>
      <c r="T139" s="391"/>
    </row>
    <row r="140" spans="1:20" x14ac:dyDescent="0.25">
      <c r="A140" s="391"/>
      <c r="B140" s="391"/>
      <c r="C140" s="398"/>
      <c r="D140" s="398"/>
      <c r="E140" s="398"/>
      <c r="F140" s="398"/>
      <c r="G140" s="398"/>
      <c r="H140" s="398"/>
      <c r="I140" s="398"/>
      <c r="J140" s="398"/>
      <c r="K140" s="398"/>
      <c r="L140" s="398"/>
      <c r="M140" s="398"/>
      <c r="N140" s="391"/>
      <c r="O140" s="391"/>
      <c r="P140" s="391"/>
      <c r="Q140" s="391"/>
      <c r="R140" s="391"/>
      <c r="S140" s="391"/>
      <c r="T140" s="391"/>
    </row>
    <row r="141" spans="1:20" x14ac:dyDescent="0.25">
      <c r="A141" s="391"/>
      <c r="B141" s="391"/>
      <c r="C141" s="391"/>
      <c r="D141" s="391"/>
      <c r="E141" s="391"/>
      <c r="F141" s="391"/>
      <c r="G141" s="391"/>
      <c r="H141" s="391"/>
      <c r="I141" s="391"/>
      <c r="J141" s="391"/>
      <c r="K141" s="391"/>
      <c r="L141" s="391"/>
      <c r="M141" s="391"/>
      <c r="N141" s="391"/>
      <c r="O141" s="391"/>
      <c r="P141" s="391"/>
      <c r="Q141" s="391"/>
      <c r="R141" s="391"/>
      <c r="S141" s="391"/>
      <c r="T141" s="391"/>
    </row>
    <row r="142" spans="1:20" x14ac:dyDescent="0.25">
      <c r="A142" s="391"/>
      <c r="B142" s="391"/>
      <c r="C142" s="391"/>
      <c r="D142" s="391"/>
      <c r="E142" s="391"/>
      <c r="F142" s="391"/>
      <c r="G142" s="391"/>
      <c r="H142" s="391"/>
      <c r="I142" s="391"/>
      <c r="J142" s="391"/>
      <c r="K142" s="391"/>
      <c r="L142" s="391"/>
      <c r="M142" s="391"/>
      <c r="N142" s="391"/>
      <c r="O142" s="391"/>
      <c r="P142" s="391"/>
      <c r="Q142" s="391"/>
      <c r="R142" s="391"/>
      <c r="S142" s="391"/>
      <c r="T142" s="391"/>
    </row>
    <row r="143" spans="1:20" x14ac:dyDescent="0.25">
      <c r="A143" s="391"/>
      <c r="B143" s="391"/>
      <c r="C143" s="391"/>
      <c r="D143" s="391"/>
      <c r="E143" s="391"/>
      <c r="F143" s="391"/>
      <c r="G143" s="391"/>
      <c r="H143" s="391"/>
      <c r="I143" s="391"/>
      <c r="J143" s="391"/>
      <c r="K143" s="391"/>
      <c r="L143" s="391"/>
      <c r="M143" s="391"/>
      <c r="N143" s="391"/>
      <c r="O143" s="391"/>
      <c r="P143" s="391"/>
      <c r="Q143" s="391"/>
      <c r="R143" s="391"/>
      <c r="S143" s="391"/>
      <c r="T143" s="391"/>
    </row>
    <row r="144" spans="1:20" x14ac:dyDescent="0.25">
      <c r="A144" s="391"/>
      <c r="B144" s="391"/>
      <c r="C144" s="391"/>
      <c r="D144" s="391"/>
      <c r="E144" s="391"/>
      <c r="F144" s="391"/>
      <c r="G144" s="391"/>
      <c r="H144" s="391"/>
      <c r="I144" s="391"/>
      <c r="J144" s="391"/>
      <c r="K144" s="391"/>
      <c r="L144" s="391"/>
      <c r="M144" s="391"/>
      <c r="N144" s="391"/>
      <c r="O144" s="391"/>
      <c r="P144" s="391"/>
      <c r="Q144" s="391"/>
      <c r="R144" s="391"/>
      <c r="S144" s="395"/>
      <c r="T144" s="391"/>
    </row>
    <row r="145" spans="1:20" x14ac:dyDescent="0.25">
      <c r="A145" s="391"/>
      <c r="B145" s="391"/>
      <c r="C145" s="391"/>
      <c r="D145" s="391"/>
      <c r="E145" s="391"/>
      <c r="F145" s="391"/>
      <c r="G145" s="391"/>
      <c r="H145" s="391"/>
      <c r="I145" s="391"/>
      <c r="J145" s="391"/>
      <c r="K145" s="391"/>
      <c r="L145" s="391"/>
      <c r="M145" s="391"/>
      <c r="N145" s="391"/>
      <c r="O145" s="391"/>
      <c r="P145" s="391"/>
      <c r="Q145" s="391"/>
      <c r="R145" s="391"/>
      <c r="S145" s="395"/>
      <c r="T145" s="391"/>
    </row>
    <row r="146" spans="1:20" x14ac:dyDescent="0.25">
      <c r="A146" s="391"/>
      <c r="B146" s="391"/>
      <c r="C146" s="391"/>
      <c r="D146" s="391"/>
      <c r="E146" s="391"/>
      <c r="F146" s="391"/>
      <c r="G146" s="391"/>
      <c r="H146" s="391"/>
      <c r="I146" s="391"/>
      <c r="J146" s="391"/>
      <c r="K146" s="391"/>
      <c r="L146" s="391"/>
      <c r="M146" s="391"/>
      <c r="N146" s="391"/>
      <c r="O146" s="391"/>
      <c r="P146" s="391"/>
      <c r="Q146" s="391"/>
      <c r="R146" s="391"/>
      <c r="S146" s="395"/>
      <c r="T146" s="391"/>
    </row>
    <row r="147" spans="1:20" x14ac:dyDescent="0.25">
      <c r="A147" s="391"/>
      <c r="B147" s="391"/>
      <c r="C147" s="391"/>
      <c r="D147" s="391"/>
      <c r="E147" s="391"/>
      <c r="F147" s="391"/>
      <c r="G147" s="391"/>
      <c r="H147" s="391"/>
      <c r="I147" s="391"/>
      <c r="J147" s="391"/>
      <c r="K147" s="391"/>
      <c r="L147" s="391"/>
      <c r="M147" s="391"/>
      <c r="N147" s="391"/>
      <c r="O147" s="391"/>
      <c r="P147" s="391"/>
      <c r="Q147" s="391"/>
      <c r="R147" s="391"/>
      <c r="S147" s="395"/>
      <c r="T147" s="391"/>
    </row>
    <row r="148" spans="1:20" x14ac:dyDescent="0.25">
      <c r="A148" s="391"/>
      <c r="B148" s="391"/>
      <c r="C148" s="391"/>
      <c r="D148" s="391"/>
      <c r="E148" s="391"/>
      <c r="F148" s="391"/>
      <c r="G148" s="391"/>
      <c r="H148" s="391"/>
      <c r="I148" s="391"/>
      <c r="J148" s="391"/>
      <c r="K148" s="391"/>
      <c r="L148" s="391"/>
      <c r="M148" s="391"/>
      <c r="N148" s="391"/>
      <c r="O148" s="391"/>
      <c r="P148" s="391"/>
      <c r="Q148" s="391"/>
      <c r="R148" s="391"/>
      <c r="S148" s="395"/>
      <c r="T148" s="391"/>
    </row>
    <row r="149" spans="1:20" x14ac:dyDescent="0.25">
      <c r="A149" s="391"/>
      <c r="B149" s="391"/>
      <c r="C149" s="391"/>
      <c r="D149" s="391"/>
      <c r="E149" s="391"/>
      <c r="F149" s="391"/>
      <c r="G149" s="391"/>
      <c r="H149" s="391"/>
      <c r="I149" s="391"/>
      <c r="J149" s="391"/>
      <c r="K149" s="391"/>
      <c r="L149" s="391"/>
      <c r="M149" s="391"/>
      <c r="N149" s="391"/>
      <c r="O149" s="391"/>
      <c r="P149" s="391"/>
      <c r="Q149" s="391"/>
      <c r="R149" s="391"/>
      <c r="S149" s="395"/>
      <c r="T149" s="391"/>
    </row>
    <row r="150" spans="1:20" x14ac:dyDescent="0.25">
      <c r="A150" s="391"/>
      <c r="B150" s="391"/>
      <c r="C150" s="391"/>
      <c r="D150" s="391"/>
      <c r="E150" s="391"/>
      <c r="F150" s="391"/>
      <c r="G150" s="391"/>
      <c r="H150" s="391"/>
      <c r="I150" s="391"/>
      <c r="J150" s="391"/>
      <c r="K150" s="391"/>
      <c r="L150" s="391"/>
      <c r="M150" s="391"/>
      <c r="N150" s="391"/>
      <c r="O150" s="391"/>
      <c r="P150" s="391"/>
      <c r="Q150" s="391"/>
      <c r="R150" s="391"/>
      <c r="S150" s="395"/>
      <c r="T150" s="391"/>
    </row>
    <row r="151" spans="1:20" x14ac:dyDescent="0.25">
      <c r="A151" s="391"/>
      <c r="B151" s="391"/>
      <c r="C151" s="391"/>
      <c r="D151" s="391"/>
      <c r="E151" s="391"/>
      <c r="F151" s="391"/>
      <c r="G151" s="391"/>
      <c r="H151" s="391"/>
      <c r="I151" s="391"/>
      <c r="J151" s="391"/>
      <c r="K151" s="391"/>
      <c r="L151" s="391"/>
      <c r="M151" s="391"/>
      <c r="N151" s="391"/>
      <c r="O151" s="391"/>
      <c r="P151" s="391"/>
      <c r="Q151" s="391"/>
      <c r="R151" s="391"/>
      <c r="S151" s="395"/>
      <c r="T151" s="391"/>
    </row>
    <row r="152" spans="1:20" x14ac:dyDescent="0.25">
      <c r="A152" s="391"/>
      <c r="B152" s="391"/>
      <c r="C152" s="391"/>
      <c r="D152" s="391"/>
      <c r="E152" s="391"/>
      <c r="F152" s="391"/>
      <c r="G152" s="391"/>
      <c r="H152" s="391"/>
      <c r="I152" s="391"/>
      <c r="J152" s="391"/>
      <c r="K152" s="391"/>
      <c r="L152" s="391"/>
      <c r="M152" s="391"/>
      <c r="N152" s="391"/>
      <c r="O152" s="391"/>
      <c r="P152" s="391"/>
      <c r="Q152" s="391"/>
      <c r="R152" s="391"/>
      <c r="S152" s="395"/>
      <c r="T152" s="391"/>
    </row>
    <row r="153" spans="1:20" x14ac:dyDescent="0.25">
      <c r="A153" s="391"/>
      <c r="B153" s="391"/>
      <c r="N153" s="391"/>
      <c r="O153" s="391"/>
      <c r="P153" s="391"/>
      <c r="Q153" s="391"/>
      <c r="R153" s="391"/>
      <c r="S153" s="395"/>
      <c r="T153" s="391"/>
    </row>
    <row r="154" spans="1:20" x14ac:dyDescent="0.25">
      <c r="A154" s="391"/>
      <c r="B154" s="391"/>
      <c r="N154" s="391"/>
      <c r="O154" s="391"/>
      <c r="P154" s="391"/>
      <c r="Q154" s="391"/>
      <c r="R154" s="391"/>
      <c r="S154" s="395"/>
      <c r="T154" s="391"/>
    </row>
    <row r="155" spans="1:20" x14ac:dyDescent="0.25">
      <c r="A155" s="391"/>
      <c r="B155" s="391"/>
      <c r="N155" s="391"/>
      <c r="O155" s="391"/>
      <c r="P155" s="391"/>
      <c r="Q155" s="391"/>
      <c r="R155" s="391"/>
      <c r="S155" s="395"/>
      <c r="T155" s="391"/>
    </row>
    <row r="156" spans="1:20" x14ac:dyDescent="0.25">
      <c r="A156" s="391"/>
      <c r="B156" s="391"/>
      <c r="C156" s="391"/>
      <c r="D156" s="391"/>
      <c r="E156" s="391"/>
      <c r="F156" s="391"/>
      <c r="G156" s="391"/>
      <c r="H156" s="391"/>
      <c r="I156" s="391"/>
      <c r="J156" s="391"/>
      <c r="K156" s="391"/>
      <c r="L156" s="391"/>
      <c r="M156" s="391"/>
      <c r="N156" s="391"/>
      <c r="O156" s="391"/>
      <c r="P156" s="391"/>
      <c r="Q156" s="391"/>
      <c r="R156" s="391"/>
      <c r="S156" s="395"/>
      <c r="T156" s="391"/>
    </row>
    <row r="157" spans="1:20" x14ac:dyDescent="0.25">
      <c r="A157" s="391"/>
      <c r="B157" s="391"/>
      <c r="C157" s="391"/>
      <c r="D157" s="391"/>
      <c r="E157" s="391"/>
      <c r="F157" s="391"/>
      <c r="G157" s="391"/>
      <c r="H157" s="391"/>
      <c r="I157" s="391"/>
      <c r="J157" s="391"/>
      <c r="K157" s="391"/>
      <c r="L157" s="391"/>
      <c r="M157" s="391"/>
      <c r="N157" s="391"/>
      <c r="O157" s="391"/>
      <c r="P157" s="391"/>
      <c r="Q157" s="391"/>
      <c r="R157" s="391"/>
      <c r="S157" s="395"/>
      <c r="T157" s="391"/>
    </row>
    <row r="158" spans="1:20" x14ac:dyDescent="0.25">
      <c r="A158" s="391"/>
      <c r="B158" s="391"/>
      <c r="C158" s="391"/>
      <c r="D158" s="391"/>
      <c r="E158" s="391"/>
      <c r="F158" s="391"/>
      <c r="G158" s="391"/>
      <c r="H158" s="391"/>
      <c r="I158" s="391"/>
      <c r="J158" s="391"/>
      <c r="K158" s="391"/>
      <c r="L158" s="391"/>
      <c r="M158" s="391"/>
      <c r="N158" s="391"/>
      <c r="O158" s="391"/>
      <c r="P158" s="391"/>
      <c r="Q158" s="391"/>
      <c r="R158" s="391"/>
      <c r="S158" s="395"/>
      <c r="T158" s="391"/>
    </row>
    <row r="159" spans="1:20" x14ac:dyDescent="0.25">
      <c r="A159" s="391"/>
      <c r="B159" s="391"/>
      <c r="C159" s="391"/>
      <c r="D159" s="391"/>
      <c r="E159" s="391"/>
      <c r="F159" s="391"/>
      <c r="G159" s="391"/>
      <c r="H159" s="391"/>
      <c r="I159" s="391"/>
      <c r="J159" s="391"/>
      <c r="K159" s="391"/>
      <c r="L159" s="391"/>
      <c r="M159" s="391"/>
      <c r="N159" s="391"/>
      <c r="O159" s="391"/>
      <c r="P159" s="391"/>
      <c r="Q159" s="391"/>
      <c r="R159" s="391"/>
      <c r="S159" s="395"/>
      <c r="T159" s="391"/>
    </row>
    <row r="160" spans="1:20" x14ac:dyDescent="0.25">
      <c r="A160" s="391"/>
      <c r="B160" s="391"/>
      <c r="C160" s="391"/>
      <c r="D160" s="391"/>
      <c r="E160" s="391"/>
      <c r="F160" s="391"/>
      <c r="G160" s="391"/>
      <c r="H160" s="391"/>
      <c r="I160" s="391"/>
      <c r="J160" s="391"/>
      <c r="K160" s="391"/>
      <c r="L160" s="391"/>
      <c r="M160" s="391"/>
      <c r="N160" s="391"/>
      <c r="O160" s="391"/>
      <c r="P160" s="391"/>
      <c r="Q160" s="391"/>
      <c r="R160" s="391"/>
      <c r="S160" s="395"/>
      <c r="T160" s="391"/>
    </row>
    <row r="161" spans="1:20" x14ac:dyDescent="0.25">
      <c r="A161" s="391"/>
      <c r="B161" s="391"/>
      <c r="C161" s="391"/>
      <c r="D161" s="391"/>
      <c r="E161" s="391"/>
      <c r="F161" s="391"/>
      <c r="G161" s="391"/>
      <c r="H161" s="391"/>
      <c r="I161" s="391"/>
      <c r="J161" s="391"/>
      <c r="K161" s="391"/>
      <c r="L161" s="391"/>
      <c r="M161" s="391"/>
      <c r="N161" s="391"/>
      <c r="O161" s="391"/>
      <c r="P161" s="391"/>
      <c r="Q161" s="391"/>
      <c r="R161" s="391"/>
      <c r="S161" s="395"/>
      <c r="T161" s="391"/>
    </row>
    <row r="162" spans="1:20" x14ac:dyDescent="0.25">
      <c r="A162" s="391"/>
      <c r="B162" s="391"/>
      <c r="C162" s="391"/>
      <c r="D162" s="391"/>
      <c r="E162" s="391"/>
      <c r="F162" s="391"/>
      <c r="G162" s="391"/>
      <c r="H162" s="391"/>
      <c r="I162" s="391"/>
      <c r="J162" s="391"/>
      <c r="K162" s="391"/>
      <c r="L162" s="391"/>
      <c r="M162" s="391"/>
      <c r="N162" s="391"/>
      <c r="O162" s="391"/>
      <c r="P162" s="391"/>
      <c r="Q162" s="391"/>
      <c r="R162" s="391"/>
      <c r="S162" s="395"/>
      <c r="T162" s="391"/>
    </row>
    <row r="163" spans="1:20" x14ac:dyDescent="0.25">
      <c r="A163" s="391"/>
      <c r="B163" s="391"/>
      <c r="C163" s="391"/>
      <c r="D163" s="391"/>
      <c r="E163" s="391"/>
      <c r="F163" s="391"/>
      <c r="G163" s="391"/>
      <c r="H163" s="391"/>
      <c r="I163" s="391"/>
      <c r="J163" s="391"/>
      <c r="K163" s="391"/>
      <c r="L163" s="391"/>
      <c r="M163" s="391"/>
      <c r="N163" s="391"/>
      <c r="O163" s="391"/>
      <c r="P163" s="391"/>
      <c r="Q163" s="391"/>
      <c r="R163" s="391"/>
      <c r="S163" s="391"/>
      <c r="T163" s="391"/>
    </row>
    <row r="164" spans="1:20" x14ac:dyDescent="0.25">
      <c r="A164" s="391"/>
      <c r="B164" s="391"/>
      <c r="C164" s="391"/>
      <c r="D164" s="391"/>
      <c r="E164" s="391"/>
      <c r="F164" s="391"/>
      <c r="G164" s="391"/>
      <c r="H164" s="391"/>
      <c r="I164" s="391"/>
      <c r="J164" s="391"/>
      <c r="K164" s="391"/>
      <c r="L164" s="391"/>
      <c r="M164" s="391"/>
      <c r="N164" s="391"/>
      <c r="O164" s="391"/>
      <c r="P164" s="391"/>
      <c r="Q164" s="391"/>
      <c r="R164" s="391"/>
      <c r="S164" s="391"/>
      <c r="T164" s="391"/>
    </row>
    <row r="165" spans="1:20" x14ac:dyDescent="0.25">
      <c r="A165" s="391"/>
      <c r="B165" s="391"/>
      <c r="C165" s="391"/>
      <c r="D165" s="391"/>
      <c r="E165" s="391"/>
      <c r="F165" s="391"/>
      <c r="G165" s="391"/>
      <c r="H165" s="391"/>
      <c r="I165" s="391"/>
      <c r="J165" s="391"/>
      <c r="K165" s="391"/>
      <c r="L165" s="391"/>
      <c r="M165" s="391"/>
      <c r="N165" s="391"/>
      <c r="O165" s="391"/>
      <c r="P165" s="391"/>
      <c r="Q165" s="391"/>
      <c r="R165" s="391"/>
      <c r="S165" s="391"/>
      <c r="T165" s="391"/>
    </row>
    <row r="166" spans="1:20" x14ac:dyDescent="0.25">
      <c r="A166" s="391"/>
      <c r="B166" s="391"/>
      <c r="C166" s="391"/>
      <c r="D166" s="391"/>
      <c r="E166" s="391"/>
      <c r="F166" s="391"/>
      <c r="G166" s="391"/>
      <c r="H166" s="391"/>
      <c r="I166" s="391"/>
      <c r="J166" s="391"/>
      <c r="K166" s="391"/>
      <c r="L166" s="391"/>
      <c r="M166" s="391"/>
      <c r="N166" s="391"/>
      <c r="O166" s="391"/>
      <c r="P166" s="391"/>
      <c r="Q166" s="391"/>
      <c r="R166" s="391"/>
      <c r="S166" s="391"/>
      <c r="T166" s="391"/>
    </row>
    <row r="167" spans="1:20" x14ac:dyDescent="0.25">
      <c r="A167" s="391"/>
      <c r="B167" s="391"/>
      <c r="C167" s="391"/>
      <c r="D167" s="391"/>
      <c r="E167" s="391"/>
      <c r="F167" s="391"/>
      <c r="G167" s="391"/>
      <c r="H167" s="391"/>
      <c r="I167" s="391"/>
      <c r="J167" s="391"/>
      <c r="K167" s="391"/>
      <c r="L167" s="391"/>
      <c r="M167" s="391"/>
      <c r="N167" s="391"/>
      <c r="O167" s="391"/>
      <c r="P167" s="391"/>
      <c r="Q167" s="391"/>
      <c r="R167" s="391"/>
      <c r="S167" s="391"/>
      <c r="T167" s="391"/>
    </row>
    <row r="168" spans="1:20" x14ac:dyDescent="0.25">
      <c r="A168" s="391"/>
      <c r="B168" s="391"/>
      <c r="C168" s="391"/>
      <c r="D168" s="391"/>
      <c r="E168" s="391"/>
      <c r="F168" s="391"/>
      <c r="G168" s="391"/>
      <c r="H168" s="391"/>
      <c r="I168" s="391"/>
      <c r="J168" s="391"/>
      <c r="K168" s="391"/>
      <c r="L168" s="391"/>
      <c r="M168" s="391"/>
      <c r="N168" s="391"/>
      <c r="O168" s="391"/>
      <c r="P168" s="391"/>
      <c r="Q168" s="391"/>
      <c r="R168" s="391"/>
      <c r="S168" s="391"/>
      <c r="T168" s="391"/>
    </row>
    <row r="169" spans="1:20" x14ac:dyDescent="0.25">
      <c r="A169" s="391"/>
      <c r="B169" s="391"/>
      <c r="C169" s="391"/>
      <c r="D169" s="391"/>
      <c r="E169" s="391"/>
      <c r="F169" s="391"/>
      <c r="G169" s="391"/>
      <c r="H169" s="391"/>
      <c r="I169" s="391"/>
      <c r="J169" s="391"/>
      <c r="K169" s="391"/>
      <c r="L169" s="391"/>
      <c r="M169" s="391"/>
      <c r="N169" s="391"/>
      <c r="O169" s="391"/>
      <c r="P169" s="391"/>
      <c r="Q169" s="391"/>
      <c r="R169" s="391"/>
      <c r="S169" s="391"/>
      <c r="T169" s="391"/>
    </row>
    <row r="170" spans="1:20" x14ac:dyDescent="0.25">
      <c r="A170" s="391"/>
      <c r="B170" s="391"/>
      <c r="C170" s="391"/>
      <c r="D170" s="391"/>
      <c r="E170" s="391"/>
      <c r="F170" s="391"/>
      <c r="G170" s="391"/>
      <c r="H170" s="391"/>
      <c r="I170" s="391"/>
      <c r="J170" s="391"/>
      <c r="K170" s="391"/>
      <c r="L170" s="391"/>
      <c r="M170" s="391"/>
      <c r="N170" s="391"/>
      <c r="O170" s="391"/>
      <c r="P170" s="391"/>
      <c r="Q170" s="391"/>
      <c r="R170" s="391"/>
      <c r="S170" s="391"/>
      <c r="T170" s="391"/>
    </row>
    <row r="171" spans="1:20" x14ac:dyDescent="0.25">
      <c r="A171" s="391"/>
      <c r="B171" s="391"/>
      <c r="C171" s="391"/>
      <c r="D171" s="391"/>
      <c r="E171" s="391"/>
      <c r="F171" s="391"/>
      <c r="G171" s="391"/>
      <c r="H171" s="391"/>
      <c r="I171" s="391"/>
      <c r="J171" s="391"/>
      <c r="K171" s="391"/>
      <c r="L171" s="391"/>
      <c r="M171" s="391"/>
      <c r="N171" s="391"/>
      <c r="O171" s="391"/>
      <c r="P171" s="391"/>
      <c r="Q171" s="391"/>
      <c r="R171" s="391"/>
      <c r="S171" s="391"/>
      <c r="T171" s="391"/>
    </row>
    <row r="172" spans="1:20" x14ac:dyDescent="0.25">
      <c r="A172" s="391"/>
      <c r="B172" s="391"/>
      <c r="C172" s="391"/>
      <c r="D172" s="391"/>
      <c r="E172" s="391"/>
      <c r="F172" s="391"/>
      <c r="G172" s="391"/>
      <c r="H172" s="391"/>
      <c r="I172" s="391"/>
      <c r="J172" s="391"/>
      <c r="K172" s="391"/>
      <c r="L172" s="391"/>
      <c r="M172" s="391"/>
      <c r="N172" s="391"/>
      <c r="O172" s="391"/>
      <c r="P172" s="391"/>
      <c r="Q172" s="391"/>
      <c r="R172" s="391"/>
      <c r="S172" s="391"/>
      <c r="T172" s="391"/>
    </row>
    <row r="173" spans="1:20" x14ac:dyDescent="0.25">
      <c r="A173" s="391"/>
      <c r="B173" s="391"/>
      <c r="C173" s="391"/>
      <c r="D173" s="391"/>
      <c r="E173" s="391"/>
      <c r="F173" s="391"/>
      <c r="G173" s="391"/>
      <c r="H173" s="391"/>
      <c r="I173" s="391"/>
      <c r="J173" s="391"/>
      <c r="K173" s="391"/>
      <c r="L173" s="391"/>
      <c r="M173" s="391"/>
      <c r="N173" s="391"/>
      <c r="O173" s="391"/>
      <c r="P173" s="391"/>
      <c r="Q173" s="391"/>
      <c r="R173" s="391"/>
      <c r="S173" s="391"/>
      <c r="T173" s="391"/>
    </row>
    <row r="174" spans="1:20" x14ac:dyDescent="0.25">
      <c r="A174" s="391"/>
      <c r="B174" s="391"/>
      <c r="C174" s="391"/>
      <c r="D174" s="391"/>
      <c r="E174" s="391"/>
      <c r="F174" s="391"/>
      <c r="G174" s="391"/>
      <c r="H174" s="391"/>
      <c r="I174" s="391"/>
      <c r="J174" s="391"/>
      <c r="K174" s="391"/>
      <c r="L174" s="391"/>
      <c r="M174" s="391"/>
      <c r="N174" s="391"/>
      <c r="O174" s="391"/>
      <c r="P174" s="391"/>
    </row>
    <row r="175" spans="1:20" x14ac:dyDescent="0.25">
      <c r="A175" s="391"/>
      <c r="B175" s="391"/>
      <c r="C175" s="391"/>
      <c r="D175" s="391"/>
      <c r="E175" s="391"/>
      <c r="F175" s="391"/>
      <c r="G175" s="391"/>
      <c r="H175" s="391"/>
      <c r="I175" s="391"/>
      <c r="J175" s="391"/>
      <c r="K175" s="391"/>
      <c r="L175" s="391"/>
      <c r="M175" s="391"/>
      <c r="N175" s="391"/>
      <c r="O175" s="391"/>
    </row>
    <row r="176" spans="1:20" x14ac:dyDescent="0.25">
      <c r="A176" s="391"/>
      <c r="B176" s="391"/>
      <c r="C176" s="391"/>
      <c r="D176" s="391"/>
      <c r="E176" s="391"/>
      <c r="F176" s="391"/>
      <c r="G176" s="391"/>
      <c r="H176" s="391"/>
      <c r="I176" s="391"/>
      <c r="J176" s="391"/>
      <c r="K176" s="391"/>
      <c r="L176" s="391"/>
      <c r="M176" s="391"/>
      <c r="N176" s="391"/>
      <c r="O176" s="391"/>
    </row>
    <row r="177" spans="1:15" x14ac:dyDescent="0.25">
      <c r="A177" s="391"/>
      <c r="B177" s="391"/>
      <c r="C177" s="391"/>
      <c r="D177" s="391"/>
      <c r="E177" s="391"/>
      <c r="F177" s="391"/>
      <c r="G177" s="391"/>
      <c r="H177" s="391"/>
      <c r="I177" s="391"/>
      <c r="J177" s="391"/>
      <c r="K177" s="391"/>
      <c r="L177" s="391"/>
      <c r="M177" s="391"/>
      <c r="N177" s="391"/>
      <c r="O177" s="391"/>
    </row>
    <row r="178" spans="1:15" x14ac:dyDescent="0.25">
      <c r="A178" s="391"/>
      <c r="B178" s="391"/>
      <c r="C178" s="391"/>
      <c r="D178" s="391"/>
      <c r="E178" s="391"/>
      <c r="F178" s="391"/>
      <c r="G178" s="391"/>
      <c r="H178" s="391"/>
      <c r="I178" s="391"/>
      <c r="J178" s="391"/>
      <c r="K178" s="391"/>
      <c r="L178" s="391"/>
      <c r="M178" s="391"/>
      <c r="N178" s="391"/>
      <c r="O178" s="391"/>
    </row>
    <row r="179" spans="1:15" x14ac:dyDescent="0.25">
      <c r="A179" s="391"/>
      <c r="B179" s="391"/>
      <c r="C179" s="391"/>
      <c r="D179" s="391"/>
      <c r="E179" s="391"/>
      <c r="F179" s="391"/>
      <c r="G179" s="391"/>
      <c r="H179" s="391"/>
      <c r="I179" s="391"/>
      <c r="J179" s="391"/>
      <c r="K179" s="391"/>
      <c r="L179" s="391"/>
      <c r="M179" s="391"/>
      <c r="N179" s="391"/>
      <c r="O179" s="391"/>
    </row>
    <row r="180" spans="1:15" x14ac:dyDescent="0.25">
      <c r="A180" s="391"/>
      <c r="B180" s="391"/>
      <c r="C180" s="391"/>
      <c r="D180" s="391"/>
      <c r="E180" s="391"/>
      <c r="F180" s="391"/>
      <c r="G180" s="391"/>
      <c r="H180" s="391"/>
      <c r="I180" s="391"/>
      <c r="J180" s="391"/>
      <c r="K180" s="391"/>
      <c r="L180" s="391"/>
      <c r="M180" s="391"/>
      <c r="N180" s="391"/>
      <c r="O180" s="391"/>
    </row>
    <row r="181" spans="1:15" x14ac:dyDescent="0.25">
      <c r="A181" s="391"/>
      <c r="B181" s="391"/>
      <c r="C181" s="391"/>
      <c r="D181" s="391"/>
      <c r="E181" s="391"/>
      <c r="F181" s="391"/>
      <c r="G181" s="391"/>
      <c r="H181" s="391"/>
      <c r="I181" s="391"/>
      <c r="J181" s="391"/>
      <c r="K181" s="391"/>
      <c r="L181" s="391"/>
      <c r="M181" s="391"/>
      <c r="N181" s="391"/>
      <c r="O181" s="391"/>
    </row>
  </sheetData>
  <sheetProtection password="CF72" sheet="1" objects="1" scenarios="1" selectLockedCells="1"/>
  <mergeCells count="29">
    <mergeCell ref="D35:G35"/>
    <mergeCell ref="B55:M55"/>
    <mergeCell ref="E80:E82"/>
    <mergeCell ref="K80:K82"/>
    <mergeCell ref="L80:L82"/>
    <mergeCell ref="J80:J82"/>
    <mergeCell ref="I80:I82"/>
    <mergeCell ref="D80:D82"/>
    <mergeCell ref="F80:F82"/>
    <mergeCell ref="C56:M57"/>
    <mergeCell ref="C62:C75"/>
    <mergeCell ref="D78:L78"/>
    <mergeCell ref="G80:H82"/>
    <mergeCell ref="F10:I10"/>
    <mergeCell ref="C45:M45"/>
    <mergeCell ref="F51:G51"/>
    <mergeCell ref="D83:E83"/>
    <mergeCell ref="C133:M136"/>
    <mergeCell ref="C132:M132"/>
    <mergeCell ref="E100:E103"/>
    <mergeCell ref="D100:D103"/>
    <mergeCell ref="G102:M102"/>
    <mergeCell ref="G99:M101"/>
    <mergeCell ref="F83:H83"/>
    <mergeCell ref="I83:J83"/>
    <mergeCell ref="K83:L83"/>
    <mergeCell ref="D33:G33"/>
    <mergeCell ref="F12:I12"/>
    <mergeCell ref="D42:G42"/>
  </mergeCells>
  <phoneticPr fontId="2" type="noConversion"/>
  <conditionalFormatting sqref="G21 G25 M21 M25 G30 M30">
    <cfRule type="cellIs" dxfId="21" priority="4" stopIfTrue="1" operator="equal">
      <formula>1</formula>
    </cfRule>
  </conditionalFormatting>
  <conditionalFormatting sqref="E21">
    <cfRule type="expression" dxfId="20" priority="6" stopIfTrue="1">
      <formula>$G$21=1</formula>
    </cfRule>
  </conditionalFormatting>
  <conditionalFormatting sqref="E25">
    <cfRule type="expression" dxfId="19" priority="7" stopIfTrue="1">
      <formula>$G$25=1</formula>
    </cfRule>
  </conditionalFormatting>
  <conditionalFormatting sqref="E30">
    <cfRule type="expression" dxfId="18" priority="8" stopIfTrue="1">
      <formula>$G$30=1</formula>
    </cfRule>
  </conditionalFormatting>
  <conditionalFormatting sqref="K21">
    <cfRule type="expression" dxfId="17" priority="1">
      <formula>$M$21=1</formula>
    </cfRule>
    <cfRule type="expression" dxfId="16" priority="9" stopIfTrue="1">
      <formula>$M$21=1</formula>
    </cfRule>
  </conditionalFormatting>
  <conditionalFormatting sqref="K25">
    <cfRule type="expression" dxfId="15" priority="10" stopIfTrue="1">
      <formula>$M$25=1</formula>
    </cfRule>
  </conditionalFormatting>
  <conditionalFormatting sqref="K30">
    <cfRule type="expression" dxfId="14" priority="11" stopIfTrue="1">
      <formula>$M$30=1</formula>
    </cfRule>
  </conditionalFormatting>
  <hyperlinks>
    <hyperlink ref="D17" location="UserInterface!H121" display="UserInterface!H121" xr:uid="{00000000-0004-0000-0000-000000000000}"/>
    <hyperlink ref="J17" location="UserInterface!H121" display="UserInterface!H121" xr:uid="{00000000-0004-0000-0000-000001000000}"/>
    <hyperlink ref="G102:M102" location="UserInterface!A1" display="UserInterface!A1" xr:uid="{00000000-0004-0000-0000-000002000000}"/>
  </hyperlinks>
  <pageMargins left="0.39370078740157483" right="0.39370078740157483" top="0.39370078740157483" bottom="0.39370078740157483" header="0.51181102362204722" footer="0.51181102362204722"/>
  <pageSetup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moveWithCells="1">
                  <from>
                    <xdr:col>4</xdr:col>
                    <xdr:colOff>0</xdr:colOff>
                    <xdr:row>16</xdr:row>
                    <xdr:rowOff>95250</xdr:rowOff>
                  </from>
                  <to>
                    <xdr:col>6</xdr:col>
                    <xdr:colOff>254000</xdr:colOff>
                    <xdr:row>18</xdr:row>
                    <xdr:rowOff>12700</xdr:rowOff>
                  </to>
                </anchor>
              </controlPr>
            </control>
          </mc:Choice>
        </mc:AlternateContent>
        <mc:AlternateContent xmlns:mc="http://schemas.openxmlformats.org/markup-compatibility/2006">
          <mc:Choice Requires="x14">
            <control shapeId="1027" r:id="rId5" name="Drop Down 3">
              <controlPr defaultSize="0" autoLine="0" autoPict="0">
                <anchor moveWithCells="1">
                  <from>
                    <xdr:col>4</xdr:col>
                    <xdr:colOff>0</xdr:colOff>
                    <xdr:row>22</xdr:row>
                    <xdr:rowOff>95250</xdr:rowOff>
                  </from>
                  <to>
                    <xdr:col>6</xdr:col>
                    <xdr:colOff>254000</xdr:colOff>
                    <xdr:row>24</xdr:row>
                    <xdr:rowOff>12700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0</xdr:colOff>
                    <xdr:row>18</xdr:row>
                    <xdr:rowOff>95250</xdr:rowOff>
                  </from>
                  <to>
                    <xdr:col>6</xdr:col>
                    <xdr:colOff>254000</xdr:colOff>
                    <xdr:row>20</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0</xdr:colOff>
                    <xdr:row>25</xdr:row>
                    <xdr:rowOff>95250</xdr:rowOff>
                  </from>
                  <to>
                    <xdr:col>6</xdr:col>
                    <xdr:colOff>254000</xdr:colOff>
                    <xdr:row>27</xdr:row>
                    <xdr:rowOff>12700</xdr:rowOff>
                  </to>
                </anchor>
              </controlPr>
            </control>
          </mc:Choice>
        </mc:AlternateContent>
        <mc:AlternateContent xmlns:mc="http://schemas.openxmlformats.org/markup-compatibility/2006">
          <mc:Choice Requires="x14">
            <control shapeId="1031" r:id="rId8" name="Drop Down 7">
              <controlPr defaultSize="0" autoLine="0" autoPict="0">
                <anchor moveWithCells="1">
                  <from>
                    <xdr:col>10</xdr:col>
                    <xdr:colOff>0</xdr:colOff>
                    <xdr:row>12</xdr:row>
                    <xdr:rowOff>95250</xdr:rowOff>
                  </from>
                  <to>
                    <xdr:col>12</xdr:col>
                    <xdr:colOff>254000</xdr:colOff>
                    <xdr:row>14</xdr:row>
                    <xdr:rowOff>12700</xdr:rowOff>
                  </to>
                </anchor>
              </controlPr>
            </control>
          </mc:Choice>
        </mc:AlternateContent>
        <mc:AlternateContent xmlns:mc="http://schemas.openxmlformats.org/markup-compatibility/2006">
          <mc:Choice Requires="x14">
            <control shapeId="1032" r:id="rId9" name="Drop Down 8">
              <controlPr defaultSize="0" autoLine="0" autoPict="0">
                <anchor moveWithCells="1">
                  <from>
                    <xdr:col>10</xdr:col>
                    <xdr:colOff>0</xdr:colOff>
                    <xdr:row>22</xdr:row>
                    <xdr:rowOff>95250</xdr:rowOff>
                  </from>
                  <to>
                    <xdr:col>12</xdr:col>
                    <xdr:colOff>254000</xdr:colOff>
                    <xdr:row>24</xdr:row>
                    <xdr:rowOff>12700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10</xdr:col>
                    <xdr:colOff>0</xdr:colOff>
                    <xdr:row>18</xdr:row>
                    <xdr:rowOff>95250</xdr:rowOff>
                  </from>
                  <to>
                    <xdr:col>12</xdr:col>
                    <xdr:colOff>254000</xdr:colOff>
                    <xdr:row>20</xdr:row>
                    <xdr:rowOff>12700</xdr:rowOff>
                  </to>
                </anchor>
              </controlPr>
            </control>
          </mc:Choice>
        </mc:AlternateContent>
        <mc:AlternateContent xmlns:mc="http://schemas.openxmlformats.org/markup-compatibility/2006">
          <mc:Choice Requires="x14">
            <control shapeId="1034" r:id="rId11" name="Drop Down 10">
              <controlPr defaultSize="0" autoLine="0" autoPict="0">
                <anchor moveWithCells="1">
                  <from>
                    <xdr:col>10</xdr:col>
                    <xdr:colOff>0</xdr:colOff>
                    <xdr:row>25</xdr:row>
                    <xdr:rowOff>95250</xdr:rowOff>
                  </from>
                  <to>
                    <xdr:col>12</xdr:col>
                    <xdr:colOff>254000</xdr:colOff>
                    <xdr:row>27</xdr:row>
                    <xdr:rowOff>12700</xdr:rowOff>
                  </to>
                </anchor>
              </controlPr>
            </control>
          </mc:Choice>
        </mc:AlternateContent>
        <mc:AlternateContent xmlns:mc="http://schemas.openxmlformats.org/markup-compatibility/2006">
          <mc:Choice Requires="x14">
            <control shapeId="1036" r:id="rId12" name="Drop Down 12">
              <controlPr defaultSize="0" autoLine="0" autoPict="0">
                <anchor moveWithCells="1">
                  <from>
                    <xdr:col>4</xdr:col>
                    <xdr:colOff>0</xdr:colOff>
                    <xdr:row>27</xdr:row>
                    <xdr:rowOff>95250</xdr:rowOff>
                  </from>
                  <to>
                    <xdr:col>6</xdr:col>
                    <xdr:colOff>254000</xdr:colOff>
                    <xdr:row>29</xdr:row>
                    <xdr:rowOff>12700</xdr:rowOff>
                  </to>
                </anchor>
              </controlPr>
            </control>
          </mc:Choice>
        </mc:AlternateContent>
        <mc:AlternateContent xmlns:mc="http://schemas.openxmlformats.org/markup-compatibility/2006">
          <mc:Choice Requires="x14">
            <control shapeId="1037" r:id="rId13" name="Drop Down 13">
              <controlPr defaultSize="0" autoLine="0" autoPict="0">
                <anchor moveWithCells="1">
                  <from>
                    <xdr:col>10</xdr:col>
                    <xdr:colOff>0</xdr:colOff>
                    <xdr:row>27</xdr:row>
                    <xdr:rowOff>95250</xdr:rowOff>
                  </from>
                  <to>
                    <xdr:col>12</xdr:col>
                    <xdr:colOff>254000</xdr:colOff>
                    <xdr:row>29</xdr:row>
                    <xdr:rowOff>12700</xdr:rowOff>
                  </to>
                </anchor>
              </controlPr>
            </control>
          </mc:Choice>
        </mc:AlternateContent>
        <mc:AlternateContent xmlns:mc="http://schemas.openxmlformats.org/markup-compatibility/2006">
          <mc:Choice Requires="x14">
            <control shapeId="1043" r:id="rId14" name="Drop Down 19">
              <controlPr defaultSize="0" autoLine="0" autoPict="0">
                <anchor moveWithCells="1">
                  <from>
                    <xdr:col>10</xdr:col>
                    <xdr:colOff>0</xdr:colOff>
                    <xdr:row>14</xdr:row>
                    <xdr:rowOff>95250</xdr:rowOff>
                  </from>
                  <to>
                    <xdr:col>12</xdr:col>
                    <xdr:colOff>254000</xdr:colOff>
                    <xdr:row>16</xdr:row>
                    <xdr:rowOff>12700</xdr:rowOff>
                  </to>
                </anchor>
              </controlPr>
            </control>
          </mc:Choice>
        </mc:AlternateContent>
        <mc:AlternateContent xmlns:mc="http://schemas.openxmlformats.org/markup-compatibility/2006">
          <mc:Choice Requires="x14">
            <control shapeId="1081" r:id="rId15" name="Drop Down 57">
              <controlPr defaultSize="0" autoLine="0" autoPict="0">
                <anchor moveWithCells="1">
                  <from>
                    <xdr:col>8</xdr:col>
                    <xdr:colOff>120650</xdr:colOff>
                    <xdr:row>31</xdr:row>
                    <xdr:rowOff>88900</xdr:rowOff>
                  </from>
                  <to>
                    <xdr:col>9</xdr:col>
                    <xdr:colOff>0</xdr:colOff>
                    <xdr:row>33</xdr:row>
                    <xdr:rowOff>12700</xdr:rowOff>
                  </to>
                </anchor>
              </controlPr>
            </control>
          </mc:Choice>
        </mc:AlternateContent>
        <mc:AlternateContent xmlns:mc="http://schemas.openxmlformats.org/markup-compatibility/2006">
          <mc:Choice Requires="x14">
            <control shapeId="1082" r:id="rId16" name="Drop Down 58">
              <controlPr defaultSize="0" autoLine="0" autoPict="0">
                <anchor moveWithCells="1">
                  <from>
                    <xdr:col>8</xdr:col>
                    <xdr:colOff>107950</xdr:colOff>
                    <xdr:row>11</xdr:row>
                    <xdr:rowOff>44450</xdr:rowOff>
                  </from>
                  <to>
                    <xdr:col>8</xdr:col>
                    <xdr:colOff>457200</xdr:colOff>
                    <xdr:row>11</xdr:row>
                    <xdr:rowOff>177800</xdr:rowOff>
                  </to>
                </anchor>
              </controlPr>
            </control>
          </mc:Choice>
        </mc:AlternateContent>
        <mc:AlternateContent xmlns:mc="http://schemas.openxmlformats.org/markup-compatibility/2006">
          <mc:Choice Requires="x14">
            <control shapeId="1100" r:id="rId17" name="Drop Down 76">
              <controlPr defaultSize="0" autoLine="0" autoPict="0">
                <anchor moveWithCells="1">
                  <from>
                    <xdr:col>4</xdr:col>
                    <xdr:colOff>0</xdr:colOff>
                    <xdr:row>12</xdr:row>
                    <xdr:rowOff>95250</xdr:rowOff>
                  </from>
                  <to>
                    <xdr:col>6</xdr:col>
                    <xdr:colOff>254000</xdr:colOff>
                    <xdr:row>14</xdr:row>
                    <xdr:rowOff>12700</xdr:rowOff>
                  </to>
                </anchor>
              </controlPr>
            </control>
          </mc:Choice>
        </mc:AlternateContent>
        <mc:AlternateContent xmlns:mc="http://schemas.openxmlformats.org/markup-compatibility/2006">
          <mc:Choice Requires="x14">
            <control shapeId="1102" r:id="rId18" name="Drop Down 78">
              <controlPr defaultSize="0" autoLine="0" autoPict="0">
                <anchor moveWithCells="1">
                  <from>
                    <xdr:col>4</xdr:col>
                    <xdr:colOff>0</xdr:colOff>
                    <xdr:row>14</xdr:row>
                    <xdr:rowOff>95250</xdr:rowOff>
                  </from>
                  <to>
                    <xdr:col>6</xdr:col>
                    <xdr:colOff>254000</xdr:colOff>
                    <xdr:row>16</xdr:row>
                    <xdr:rowOff>12700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Q207"/>
  <sheetViews>
    <sheetView workbookViewId="0">
      <selection activeCell="D2" sqref="D2"/>
    </sheetView>
  </sheetViews>
  <sheetFormatPr baseColWidth="10" defaultColWidth="11.453125" defaultRowHeight="12.5" x14ac:dyDescent="0.25"/>
  <cols>
    <col min="1" max="1" width="17.7265625" style="1" bestFit="1" customWidth="1"/>
    <col min="2" max="2" width="21.26953125" style="1" bestFit="1" customWidth="1"/>
    <col min="3" max="3" width="28.7265625" style="1" bestFit="1" customWidth="1"/>
    <col min="4" max="4" width="19.26953125" style="1" bestFit="1" customWidth="1"/>
    <col min="5" max="5" width="21" style="1" bestFit="1" customWidth="1"/>
    <col min="6" max="7" width="18.453125" style="1" bestFit="1" customWidth="1"/>
    <col min="8" max="9" width="20.26953125" style="1" bestFit="1" customWidth="1"/>
    <col min="10" max="10" width="19.453125" style="1" bestFit="1" customWidth="1"/>
    <col min="11" max="11" width="17" style="1" bestFit="1" customWidth="1"/>
    <col min="14" max="14" width="15.453125" style="1" bestFit="1" customWidth="1"/>
    <col min="15" max="15" width="15.1796875" style="1" bestFit="1" customWidth="1"/>
    <col min="16" max="16384" width="11.453125" style="1"/>
  </cols>
  <sheetData>
    <row r="2" spans="1:199" x14ac:dyDescent="0.25">
      <c r="C2" s="5" t="s">
        <v>234</v>
      </c>
      <c r="D2" s="63">
        <f>COUNTA(C6:GQ6)</f>
        <v>13</v>
      </c>
      <c r="F2" s="5" t="s">
        <v>317</v>
      </c>
      <c r="G2" s="240" t="str">
        <f>"CT_C1toANT!B7:B"&amp;D3+6</f>
        <v>CT_C1toANT!B7:B24</v>
      </c>
    </row>
    <row r="3" spans="1:199" x14ac:dyDescent="0.25">
      <c r="C3" s="7" t="s">
        <v>237</v>
      </c>
      <c r="D3" s="69">
        <f>COUNTA(B7:B207)</f>
        <v>18</v>
      </c>
      <c r="F3" s="7" t="s">
        <v>311</v>
      </c>
      <c r="G3" s="69" t="str">
        <f>"CT_C1toANT!C6:"&amp;INDEX(CT_HELP!$B$1:$B$200,$D$2+2)&amp;"6"</f>
        <v>CT_C1toANT!C6:O6</v>
      </c>
    </row>
    <row r="4" spans="1:199" x14ac:dyDescent="0.25">
      <c r="B4" s="110" t="str">
        <f>"CT_C1toANT!C5:"&amp;INDEX(CT_HELP!$B$1:$B$200,$D$2+2)&amp;"5"</f>
        <v>CT_C1toANT!C5:O5</v>
      </c>
    </row>
    <row r="5" spans="1:199" ht="10" x14ac:dyDescent="0.2">
      <c r="C5" s="110" t="str">
        <f>"CT_C1toANT!"&amp;CT_HELP!F5&amp;"7:"&amp;INDEX(CT_HELP!$B$1:$B$220,CT_HELP!F4)&amp;""&amp;SUM($D$3,6)</f>
        <v>CT_C1toANT!C7:C24</v>
      </c>
      <c r="D5" s="110" t="str">
        <f>"CT_C1toANT!"&amp;CT_HELP!G5&amp;"7:"&amp;INDEX(CT_HELP!$B$1:$B$220,CT_HELP!G4)&amp;""&amp;SUM($D$3,6)</f>
        <v>CT_C1toANT!D7:D24</v>
      </c>
      <c r="E5" s="110" t="str">
        <f>"CT_C1toANT!"&amp;CT_HELP!H5&amp;"7:"&amp;INDEX(CT_HELP!$B$1:$B$220,CT_HELP!H4)&amp;""&amp;SUM($D$3,6)</f>
        <v>CT_C1toANT!E7:E24</v>
      </c>
      <c r="F5" s="110" t="str">
        <f>"CT_C1toANT!"&amp;CT_HELP!I5&amp;"7:"&amp;INDEX(CT_HELP!$B$1:$B$220,CT_HELP!I4)&amp;""&amp;SUM($D$3,6)</f>
        <v>CT_C1toANT!F7:F24</v>
      </c>
      <c r="G5" s="110" t="str">
        <f>"CT_C1toANT!"&amp;CT_HELP!J5&amp;"7:"&amp;INDEX(CT_HELP!$B$1:$B$220,CT_HELP!J4)&amp;""&amp;SUM($D$3,6)</f>
        <v>CT_C1toANT!G7:G24</v>
      </c>
      <c r="H5" s="110" t="str">
        <f>"CT_C1toANT!"&amp;CT_HELP!K5&amp;"7:"&amp;INDEX(CT_HELP!$B$1:$B$220,CT_HELP!K4)&amp;""&amp;SUM($D$3,6)</f>
        <v>CT_C1toANT!H7:H24</v>
      </c>
      <c r="I5" s="110" t="str">
        <f>"CT_C1toANT!"&amp;CT_HELP!L5&amp;"7:"&amp;INDEX(CT_HELP!$B$1:$B$220,CT_HELP!L4)&amp;""&amp;SUM($D$3,6)</f>
        <v>CT_C1toANT!I7:I24</v>
      </c>
      <c r="J5" s="110" t="str">
        <f>"CT_C1toANT!"&amp;CT_HELP!M5&amp;"7:"&amp;INDEX(CT_HELP!$B$1:$B$220,CT_HELP!M4)&amp;""&amp;SUM($D$3,6)</f>
        <v>CT_C1toANT!J7:J24</v>
      </c>
      <c r="K5" s="110" t="str">
        <f>"CT_C1toANT!"&amp;CT_HELP!N5&amp;"7:"&amp;INDEX(CT_HELP!$B$1:$B$220,CT_HELP!N4)&amp;""&amp;SUM($D$3,6)</f>
        <v>CT_C1toANT!K7:K24</v>
      </c>
      <c r="L5" s="110" t="str">
        <f>"CT_C1toANT!"&amp;CT_HELP!O5&amp;"7:"&amp;INDEX(CT_HELP!$B$1:$B$220,CT_HELP!O4)&amp;""&amp;SUM($D$3,6)</f>
        <v>CT_C1toANT!L7:L24</v>
      </c>
      <c r="M5" s="110" t="str">
        <f>"CT_C1toANT!"&amp;CT_HELP!P5&amp;"7:"&amp;INDEX(CT_HELP!$B$1:$B$220,CT_HELP!P4)&amp;""&amp;SUM($D$3,6)</f>
        <v>CT_C1toANT!M7:M24</v>
      </c>
      <c r="N5" s="110" t="str">
        <f>"CT_C1toANT!"&amp;CT_HELP!Q5&amp;"7:"&amp;INDEX(CT_HELP!$B$1:$B$220,CT_HELP!Q4)&amp;""&amp;SUM($D$3,6)</f>
        <v>CT_C1toANT!N7:N24</v>
      </c>
      <c r="O5" s="110" t="str">
        <f>"CT_C1toANT!"&amp;CT_HELP!R5&amp;"7:"&amp;INDEX(CT_HELP!$B$1:$B$220,CT_HELP!R4)&amp;""&amp;SUM($D$3,6)</f>
        <v>CT_C1toANT!O7:O24</v>
      </c>
    </row>
    <row r="6" spans="1:199" ht="10.5" x14ac:dyDescent="0.25">
      <c r="B6" s="210" t="s">
        <v>38</v>
      </c>
      <c r="C6" s="211" t="s">
        <v>676</v>
      </c>
      <c r="D6" s="201" t="s">
        <v>687</v>
      </c>
      <c r="E6" s="200" t="s">
        <v>679</v>
      </c>
      <c r="F6" s="201" t="s">
        <v>600</v>
      </c>
      <c r="G6" s="201" t="s">
        <v>601</v>
      </c>
      <c r="H6" s="201" t="s">
        <v>675</v>
      </c>
      <c r="I6" s="201" t="s">
        <v>680</v>
      </c>
      <c r="J6" s="201" t="s">
        <v>681</v>
      </c>
      <c r="K6" s="201" t="s">
        <v>682</v>
      </c>
      <c r="L6" s="201" t="s">
        <v>728</v>
      </c>
      <c r="M6" s="201" t="s">
        <v>729</v>
      </c>
      <c r="N6" s="204" t="str">
        <f>LanguageTable!B3</f>
        <v>Other antenna</v>
      </c>
      <c r="O6" s="204" t="str">
        <f>LanguageTable!B2</f>
        <v>Default antenna</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3"/>
    </row>
    <row r="7" spans="1:199" ht="10" x14ac:dyDescent="0.2">
      <c r="A7" s="110" t="str">
        <f>"CT_C1toANT!C"&amp;CT_HELP!A7&amp;":"&amp;INDEX(CT_HELP!$B$1:$B$200,$D$2+2)&amp;""&amp;CT_HELP!A7</f>
        <v>CT_C1toANT!C7:O7</v>
      </c>
      <c r="B7" s="212" t="s">
        <v>13</v>
      </c>
      <c r="C7" s="77" t="b">
        <v>1</v>
      </c>
      <c r="D7" s="77" t="b">
        <v>1</v>
      </c>
      <c r="E7" s="77" t="b">
        <v>1</v>
      </c>
      <c r="F7" s="77" t="b">
        <v>1</v>
      </c>
      <c r="G7" s="77" t="b">
        <v>1</v>
      </c>
      <c r="H7" s="77" t="b">
        <v>1</v>
      </c>
      <c r="I7" s="77" t="b">
        <v>1</v>
      </c>
      <c r="J7" s="77" t="b">
        <v>1</v>
      </c>
      <c r="K7" s="77" t="b">
        <v>1</v>
      </c>
      <c r="L7" s="77" t="b">
        <v>1</v>
      </c>
      <c r="M7" s="77" t="b">
        <v>1</v>
      </c>
      <c r="N7" s="77" t="b">
        <v>1</v>
      </c>
      <c r="O7" s="161" t="b">
        <v>0</v>
      </c>
    </row>
    <row r="8" spans="1:199" ht="10" x14ac:dyDescent="0.2">
      <c r="A8" s="110" t="str">
        <f>"CT_C1toANT!C"&amp;CT_HELP!A8&amp;":"&amp;INDEX(CT_HELP!$B$1:$B$200,$D$2+2)&amp;""&amp;CT_HELP!A8</f>
        <v>CT_C1toANT!C8:O8</v>
      </c>
      <c r="B8" s="97" t="s">
        <v>14</v>
      </c>
      <c r="C8" s="77" t="b">
        <v>1</v>
      </c>
      <c r="D8" s="77" t="b">
        <v>1</v>
      </c>
      <c r="E8" s="77" t="b">
        <v>1</v>
      </c>
      <c r="F8" s="77" t="b">
        <v>1</v>
      </c>
      <c r="G8" s="77" t="b">
        <v>1</v>
      </c>
      <c r="H8" s="77" t="b">
        <v>1</v>
      </c>
      <c r="I8" s="77" t="b">
        <v>1</v>
      </c>
      <c r="J8" s="77" t="b">
        <v>1</v>
      </c>
      <c r="K8" s="77" t="b">
        <v>1</v>
      </c>
      <c r="L8" s="77" t="b">
        <v>1</v>
      </c>
      <c r="M8" s="77" t="b">
        <v>1</v>
      </c>
      <c r="N8" s="77" t="b">
        <v>1</v>
      </c>
      <c r="O8" s="161" t="b">
        <v>0</v>
      </c>
    </row>
    <row r="9" spans="1:199" ht="10" x14ac:dyDescent="0.2">
      <c r="A9" s="110" t="str">
        <f>"CT_C1toANT!C"&amp;CT_HELP!A9&amp;":"&amp;INDEX(CT_HELP!$B$1:$B$200,$D$2+2)&amp;""&amp;CT_HELP!A9</f>
        <v>CT_C1toANT!C9:O9</v>
      </c>
      <c r="B9" s="97" t="s">
        <v>15</v>
      </c>
      <c r="C9" s="77" t="b">
        <v>1</v>
      </c>
      <c r="D9" s="77" t="b">
        <v>1</v>
      </c>
      <c r="E9" s="77" t="b">
        <v>1</v>
      </c>
      <c r="F9" s="77" t="b">
        <v>1</v>
      </c>
      <c r="G9" s="77" t="b">
        <v>1</v>
      </c>
      <c r="H9" s="77" t="b">
        <v>1</v>
      </c>
      <c r="I9" s="77" t="b">
        <v>1</v>
      </c>
      <c r="J9" s="77" t="b">
        <v>1</v>
      </c>
      <c r="K9" s="77" t="b">
        <v>1</v>
      </c>
      <c r="L9" s="77" t="b">
        <v>1</v>
      </c>
      <c r="M9" s="77" t="b">
        <v>1</v>
      </c>
      <c r="N9" s="77" t="b">
        <v>1</v>
      </c>
      <c r="O9" s="161" t="b">
        <v>0</v>
      </c>
    </row>
    <row r="10" spans="1:199" ht="10" x14ac:dyDescent="0.2">
      <c r="A10" s="110" t="str">
        <f>"CT_C1toANT!C"&amp;CT_HELP!A10&amp;":"&amp;INDEX(CT_HELP!$B$1:$B$200,$D$2+2)&amp;""&amp;CT_HELP!A10</f>
        <v>CT_C1toANT!C10:O10</v>
      </c>
      <c r="B10" s="97" t="s">
        <v>16</v>
      </c>
      <c r="C10" s="161" t="b">
        <v>0</v>
      </c>
      <c r="D10" s="161" t="b">
        <v>0</v>
      </c>
      <c r="E10" s="161" t="b">
        <v>0</v>
      </c>
      <c r="F10" s="161" t="b">
        <v>0</v>
      </c>
      <c r="G10" s="161" t="b">
        <v>0</v>
      </c>
      <c r="H10" s="161" t="b">
        <v>0</v>
      </c>
      <c r="I10" s="161" t="b">
        <v>0</v>
      </c>
      <c r="J10" s="161" t="b">
        <v>0</v>
      </c>
      <c r="K10" s="161" t="b">
        <v>0</v>
      </c>
      <c r="L10" s="161" t="b">
        <v>0</v>
      </c>
      <c r="M10" s="161" t="b">
        <v>0</v>
      </c>
      <c r="N10" s="77" t="b">
        <v>1</v>
      </c>
      <c r="O10" s="161" t="b">
        <v>0</v>
      </c>
    </row>
    <row r="11" spans="1:199" ht="10" x14ac:dyDescent="0.2">
      <c r="A11" s="110" t="str">
        <f>"CT_C1toANT!C"&amp;CT_HELP!A11&amp;":"&amp;INDEX(CT_HELP!$B$1:$B$200,$D$2+2)&amp;""&amp;CT_HELP!A11</f>
        <v>CT_C1toANT!C11:O11</v>
      </c>
      <c r="B11" s="97" t="s">
        <v>17</v>
      </c>
      <c r="C11" s="161" t="b">
        <v>0</v>
      </c>
      <c r="D11" s="161" t="b">
        <v>0</v>
      </c>
      <c r="E11" s="161" t="b">
        <v>0</v>
      </c>
      <c r="F11" s="161" t="b">
        <v>0</v>
      </c>
      <c r="G11" s="161" t="b">
        <v>0</v>
      </c>
      <c r="H11" s="161" t="b">
        <v>0</v>
      </c>
      <c r="I11" s="161" t="b">
        <v>0</v>
      </c>
      <c r="J11" s="161" t="b">
        <v>0</v>
      </c>
      <c r="K11" s="161" t="b">
        <v>0</v>
      </c>
      <c r="L11" s="161" t="b">
        <v>0</v>
      </c>
      <c r="M11" s="161" t="b">
        <v>0</v>
      </c>
      <c r="N11" s="77" t="b">
        <v>1</v>
      </c>
      <c r="O11" s="161" t="b">
        <v>0</v>
      </c>
    </row>
    <row r="12" spans="1:199" ht="10" x14ac:dyDescent="0.2">
      <c r="A12" s="110" t="str">
        <f>"CT_C1toANT!C"&amp;CT_HELP!A12&amp;":"&amp;INDEX(CT_HELP!$B$1:$B$200,$D$2+2)&amp;""&amp;CT_HELP!A12</f>
        <v>CT_C1toANT!C12:O12</v>
      </c>
      <c r="B12" s="97" t="s">
        <v>341</v>
      </c>
      <c r="C12" s="161" t="b">
        <v>0</v>
      </c>
      <c r="D12" s="161" t="b">
        <v>0</v>
      </c>
      <c r="E12" s="161" t="b">
        <v>0</v>
      </c>
      <c r="F12" s="161" t="b">
        <v>0</v>
      </c>
      <c r="G12" s="161" t="b">
        <v>0</v>
      </c>
      <c r="H12" s="161" t="b">
        <v>0</v>
      </c>
      <c r="I12" s="161" t="b">
        <v>0</v>
      </c>
      <c r="J12" s="161" t="b">
        <v>0</v>
      </c>
      <c r="K12" s="161" t="b">
        <v>0</v>
      </c>
      <c r="L12" s="161" t="b">
        <v>0</v>
      </c>
      <c r="M12" s="161" t="b">
        <v>0</v>
      </c>
      <c r="N12" s="77" t="b">
        <v>1</v>
      </c>
      <c r="O12" s="161" t="b">
        <v>0</v>
      </c>
    </row>
    <row r="13" spans="1:199" ht="10" x14ac:dyDescent="0.2">
      <c r="A13" s="110" t="str">
        <f>"CT_C1toANT!C"&amp;CT_HELP!A13&amp;":"&amp;INDEX(CT_HELP!$B$1:$B$200,$D$2+2)&amp;""&amp;CT_HELP!A13</f>
        <v>CT_C1toANT!C13:O13</v>
      </c>
      <c r="B13" s="97" t="s">
        <v>277</v>
      </c>
      <c r="C13" s="161" t="b">
        <v>0</v>
      </c>
      <c r="D13" s="161" t="b">
        <v>0</v>
      </c>
      <c r="E13" s="161" t="b">
        <v>0</v>
      </c>
      <c r="F13" s="161" t="b">
        <v>0</v>
      </c>
      <c r="G13" s="161" t="b">
        <v>0</v>
      </c>
      <c r="H13" s="161" t="b">
        <v>0</v>
      </c>
      <c r="I13" s="161" t="b">
        <v>0</v>
      </c>
      <c r="J13" s="161" t="b">
        <v>0</v>
      </c>
      <c r="K13" s="161" t="b">
        <v>0</v>
      </c>
      <c r="L13" s="161" t="b">
        <v>0</v>
      </c>
      <c r="M13" s="161" t="b">
        <v>0</v>
      </c>
      <c r="N13" s="77" t="b">
        <v>1</v>
      </c>
      <c r="O13" s="161" t="b">
        <v>0</v>
      </c>
    </row>
    <row r="14" spans="1:199" ht="10" x14ac:dyDescent="0.2">
      <c r="A14" s="110" t="str">
        <f>"CT_C1toANT!C"&amp;CT_HELP!A14&amp;":"&amp;INDEX(CT_HELP!$B$1:$B$200,$D$2+2)&amp;""&amp;CT_HELP!A14</f>
        <v>CT_C1toANT!C14:O14</v>
      </c>
      <c r="B14" s="97" t="s">
        <v>18</v>
      </c>
      <c r="C14" s="77" t="b">
        <v>1</v>
      </c>
      <c r="D14" s="77" t="b">
        <v>1</v>
      </c>
      <c r="E14" s="161" t="b">
        <v>0</v>
      </c>
      <c r="F14" s="161" t="b">
        <v>0</v>
      </c>
      <c r="G14" s="161" t="b">
        <v>0</v>
      </c>
      <c r="H14" s="161" t="b">
        <v>0</v>
      </c>
      <c r="I14" s="161" t="b">
        <v>0</v>
      </c>
      <c r="J14" s="161" t="b">
        <v>0</v>
      </c>
      <c r="K14" s="161" t="b">
        <v>0</v>
      </c>
      <c r="L14" s="161" t="b">
        <v>0</v>
      </c>
      <c r="M14" s="161" t="b">
        <v>0</v>
      </c>
      <c r="N14" s="77" t="b">
        <v>1</v>
      </c>
      <c r="O14" s="161" t="b">
        <v>0</v>
      </c>
    </row>
    <row r="15" spans="1:199" ht="10" x14ac:dyDescent="0.2">
      <c r="A15" s="110" t="str">
        <f>"CT_C1toANT!C"&amp;CT_HELP!A15&amp;":"&amp;INDEX(CT_HELP!$B$1:$B$200,$D$2+2)&amp;""&amp;CT_HELP!A15</f>
        <v>CT_C1toANT!C15:O15</v>
      </c>
      <c r="B15" s="97" t="s">
        <v>338</v>
      </c>
      <c r="C15" s="161" t="b">
        <v>0</v>
      </c>
      <c r="D15" s="161" t="b">
        <v>0</v>
      </c>
      <c r="E15" s="161" t="b">
        <v>0</v>
      </c>
      <c r="F15" s="161" t="b">
        <v>0</v>
      </c>
      <c r="G15" s="161" t="b">
        <v>0</v>
      </c>
      <c r="H15" s="161" t="b">
        <v>0</v>
      </c>
      <c r="I15" s="161" t="b">
        <v>0</v>
      </c>
      <c r="J15" s="161" t="b">
        <v>0</v>
      </c>
      <c r="K15" s="161" t="b">
        <v>0</v>
      </c>
      <c r="L15" s="161" t="b">
        <v>0</v>
      </c>
      <c r="M15" s="161" t="b">
        <v>0</v>
      </c>
      <c r="N15" s="77" t="b">
        <v>1</v>
      </c>
      <c r="O15" s="161" t="b">
        <v>0</v>
      </c>
    </row>
    <row r="16" spans="1:199" ht="10" x14ac:dyDescent="0.2">
      <c r="A16" s="110" t="str">
        <f>"CT_C1toANT!C"&amp;CT_HELP!A16&amp;":"&amp;INDEX(CT_HELP!$B$1:$B$200,$D$2+2)&amp;""&amp;CT_HELP!A16</f>
        <v>CT_C1toANT!C16:O16</v>
      </c>
      <c r="B16" s="97" t="s">
        <v>339</v>
      </c>
      <c r="C16" s="161" t="b">
        <v>0</v>
      </c>
      <c r="D16" s="161" t="b">
        <v>0</v>
      </c>
      <c r="E16" s="161" t="b">
        <v>0</v>
      </c>
      <c r="F16" s="161" t="b">
        <v>0</v>
      </c>
      <c r="G16" s="161" t="b">
        <v>0</v>
      </c>
      <c r="H16" s="161" t="b">
        <v>0</v>
      </c>
      <c r="I16" s="161" t="b">
        <v>0</v>
      </c>
      <c r="J16" s="161" t="b">
        <v>0</v>
      </c>
      <c r="K16" s="161" t="b">
        <v>0</v>
      </c>
      <c r="L16" s="161" t="b">
        <v>0</v>
      </c>
      <c r="M16" s="161" t="b">
        <v>0</v>
      </c>
      <c r="N16" s="77" t="b">
        <v>1</v>
      </c>
      <c r="O16" s="161" t="b">
        <v>0</v>
      </c>
    </row>
    <row r="17" spans="1:15" ht="10" x14ac:dyDescent="0.2">
      <c r="A17" s="110" t="str">
        <f>"CT_C1toANT!C"&amp;CT_HELP!A17&amp;":"&amp;INDEX(CT_HELP!$B$1:$B$200,$D$2+2)&amp;""&amp;CT_HELP!A17</f>
        <v>CT_C1toANT!C17:O17</v>
      </c>
      <c r="B17" s="97" t="s">
        <v>340</v>
      </c>
      <c r="C17" s="161" t="b">
        <v>0</v>
      </c>
      <c r="D17" s="161" t="b">
        <v>0</v>
      </c>
      <c r="E17" s="77" t="b">
        <v>1</v>
      </c>
      <c r="F17" s="161" t="b">
        <v>0</v>
      </c>
      <c r="G17" s="161" t="b">
        <v>0</v>
      </c>
      <c r="H17" s="161" t="b">
        <v>0</v>
      </c>
      <c r="I17" s="161" t="b">
        <v>0</v>
      </c>
      <c r="J17" s="161" t="b">
        <v>0</v>
      </c>
      <c r="K17" s="161" t="b">
        <v>0</v>
      </c>
      <c r="L17" s="161" t="b">
        <v>0</v>
      </c>
      <c r="M17" s="161" t="b">
        <v>0</v>
      </c>
      <c r="N17" s="77" t="b">
        <v>1</v>
      </c>
      <c r="O17" s="161" t="b">
        <v>0</v>
      </c>
    </row>
    <row r="18" spans="1:15" ht="10" x14ac:dyDescent="0.2">
      <c r="A18" s="110" t="str">
        <f>"CT_C1toANT!C"&amp;CT_HELP!A18&amp;":"&amp;INDEX(CT_HELP!$B$1:$B$200,$D$2+2)&amp;""&amp;CT_HELP!A18</f>
        <v>CT_C1toANT!C18:O18</v>
      </c>
      <c r="B18" s="97" t="s">
        <v>278</v>
      </c>
      <c r="C18" s="161" t="b">
        <v>0</v>
      </c>
      <c r="D18" s="161" t="b">
        <v>0</v>
      </c>
      <c r="E18" s="161" t="b">
        <v>0</v>
      </c>
      <c r="F18" s="161" t="b">
        <v>0</v>
      </c>
      <c r="G18" s="161" t="b">
        <v>0</v>
      </c>
      <c r="H18" s="161" t="b">
        <v>0</v>
      </c>
      <c r="I18" s="161" t="b">
        <v>0</v>
      </c>
      <c r="J18" s="161" t="b">
        <v>0</v>
      </c>
      <c r="K18" s="161" t="b">
        <v>0</v>
      </c>
      <c r="L18" s="161" t="b">
        <v>0</v>
      </c>
      <c r="M18" s="161" t="b">
        <v>0</v>
      </c>
      <c r="N18" s="77" t="b">
        <v>1</v>
      </c>
      <c r="O18" s="161" t="b">
        <v>0</v>
      </c>
    </row>
    <row r="19" spans="1:15" ht="10" x14ac:dyDescent="0.2">
      <c r="A19" s="110" t="str">
        <f>"CT_C1toANT!C"&amp;CT_HELP!A19&amp;":"&amp;INDEX(CT_HELP!$B$1:$B$200,$D$2+2)&amp;""&amp;CT_HELP!A19</f>
        <v>CT_C1toANT!C19:O19</v>
      </c>
      <c r="B19" s="97" t="s">
        <v>279</v>
      </c>
      <c r="C19" s="161" t="b">
        <v>0</v>
      </c>
      <c r="D19" s="161" t="b">
        <v>0</v>
      </c>
      <c r="E19" s="161" t="b">
        <v>0</v>
      </c>
      <c r="F19" s="161" t="b">
        <v>0</v>
      </c>
      <c r="G19" s="161" t="b">
        <v>0</v>
      </c>
      <c r="H19" s="161" t="b">
        <v>0</v>
      </c>
      <c r="I19" s="161" t="b">
        <v>0</v>
      </c>
      <c r="J19" s="161" t="b">
        <v>0</v>
      </c>
      <c r="K19" s="161" t="b">
        <v>0</v>
      </c>
      <c r="L19" s="161" t="b">
        <v>0</v>
      </c>
      <c r="M19" s="161" t="b">
        <v>0</v>
      </c>
      <c r="N19" s="77" t="b">
        <v>1</v>
      </c>
      <c r="O19" s="161" t="b">
        <v>0</v>
      </c>
    </row>
    <row r="20" spans="1:15" ht="10" x14ac:dyDescent="0.2">
      <c r="A20" s="110" t="str">
        <f>"CT_C1toANT!C"&amp;CT_HELP!A20&amp;":"&amp;INDEX(CT_HELP!$B$1:$B$200,$D$2+2)&amp;""&amp;CT_HELP!A20</f>
        <v>CT_C1toANT!C20:O20</v>
      </c>
      <c r="B20" s="213" t="str">
        <f>LanguageTable!B5</f>
        <v>Other cable</v>
      </c>
      <c r="C20" s="77" t="b">
        <v>1</v>
      </c>
      <c r="D20" s="77" t="b">
        <v>1</v>
      </c>
      <c r="E20" s="77" t="b">
        <v>1</v>
      </c>
      <c r="F20" s="77" t="b">
        <v>1</v>
      </c>
      <c r="G20" s="77" t="b">
        <v>1</v>
      </c>
      <c r="H20" s="77" t="b">
        <v>1</v>
      </c>
      <c r="I20" s="77" t="b">
        <v>1</v>
      </c>
      <c r="J20" s="77" t="b">
        <v>1</v>
      </c>
      <c r="K20" s="77" t="b">
        <v>1</v>
      </c>
      <c r="L20" s="77" t="b">
        <v>1</v>
      </c>
      <c r="M20" s="77" t="b">
        <v>1</v>
      </c>
      <c r="N20" s="77" t="b">
        <v>1</v>
      </c>
      <c r="O20" s="161" t="b">
        <v>0</v>
      </c>
    </row>
    <row r="21" spans="1:15" ht="10" x14ac:dyDescent="0.2">
      <c r="A21" s="110" t="str">
        <f>"CT_C1toANT!C"&amp;CT_HELP!A21&amp;":"&amp;INDEX(CT_HELP!$B$1:$B$200,$D$2+2)&amp;""&amp;CT_HELP!A21</f>
        <v>CT_C1toANT!C21:O21</v>
      </c>
      <c r="B21" s="213" t="str">
        <f>LanguageTable!B4</f>
        <v>No cable</v>
      </c>
      <c r="C21" s="161" t="b">
        <v>0</v>
      </c>
      <c r="D21" s="161" t="b">
        <v>0</v>
      </c>
      <c r="E21" s="161" t="b">
        <v>0</v>
      </c>
      <c r="F21" s="161" t="b">
        <v>0</v>
      </c>
      <c r="G21" s="161" t="b">
        <v>0</v>
      </c>
      <c r="H21" s="161" t="b">
        <v>0</v>
      </c>
      <c r="I21" s="161" t="b">
        <v>0</v>
      </c>
      <c r="J21" s="161" t="b">
        <v>0</v>
      </c>
      <c r="K21" s="161" t="b">
        <v>0</v>
      </c>
      <c r="L21" s="161" t="b">
        <v>0</v>
      </c>
      <c r="M21" s="161" t="b">
        <v>0</v>
      </c>
      <c r="N21" s="161" t="b">
        <v>0</v>
      </c>
      <c r="O21" s="77" t="b">
        <v>1</v>
      </c>
    </row>
    <row r="22" spans="1:15" ht="10" x14ac:dyDescent="0.2">
      <c r="A22" s="110" t="str">
        <f>"CT_C1toANT!C"&amp;CT_HELP!A22&amp;":"&amp;INDEX(CT_HELP!$B$1:$B$200,$D$2+2)&amp;""&amp;CT_HELP!A22</f>
        <v>CT_C1toANT!C22:O22</v>
      </c>
      <c r="B22" s="123" t="s">
        <v>589</v>
      </c>
      <c r="C22" s="77" t="b">
        <v>1</v>
      </c>
      <c r="D22" s="77" t="b">
        <v>1</v>
      </c>
      <c r="E22" s="77" t="b">
        <v>1</v>
      </c>
      <c r="F22" s="161" t="b">
        <v>0</v>
      </c>
      <c r="G22" s="161" t="b">
        <v>0</v>
      </c>
      <c r="H22" s="161" t="b">
        <v>0</v>
      </c>
      <c r="I22" s="161" t="b">
        <v>0</v>
      </c>
      <c r="J22" s="161" t="b">
        <v>0</v>
      </c>
      <c r="K22" s="161" t="b">
        <v>0</v>
      </c>
      <c r="L22" s="161" t="b">
        <v>0</v>
      </c>
      <c r="M22" s="161" t="b">
        <v>0</v>
      </c>
      <c r="N22" s="161" t="b">
        <v>0</v>
      </c>
      <c r="O22" s="161" t="b">
        <v>0</v>
      </c>
    </row>
    <row r="23" spans="1:15" ht="10" x14ac:dyDescent="0.2">
      <c r="A23" s="110" t="str">
        <f>"CT_C1toANT!C"&amp;CT_HELP!A23&amp;":"&amp;INDEX(CT_HELP!$B$1:$B$200,$D$2+2)&amp;""&amp;CT_HELP!A23</f>
        <v>CT_C1toANT!C23:O23</v>
      </c>
      <c r="B23" s="106" t="s">
        <v>603</v>
      </c>
      <c r="C23" s="161" t="b">
        <v>0</v>
      </c>
      <c r="D23" s="161" t="b">
        <v>0</v>
      </c>
      <c r="E23" s="161" t="b">
        <v>0</v>
      </c>
      <c r="F23" s="161" t="b">
        <v>0</v>
      </c>
      <c r="G23" s="161" t="b">
        <v>0</v>
      </c>
      <c r="H23" s="161" t="b">
        <v>0</v>
      </c>
      <c r="I23" s="161" t="b">
        <v>0</v>
      </c>
      <c r="J23" s="161" t="b">
        <v>0</v>
      </c>
      <c r="K23" s="161" t="b">
        <v>0</v>
      </c>
      <c r="L23" s="161" t="b">
        <v>0</v>
      </c>
      <c r="M23" s="161" t="b">
        <v>0</v>
      </c>
      <c r="N23" s="161" t="b">
        <v>0</v>
      </c>
      <c r="O23" s="161" t="b">
        <v>0</v>
      </c>
    </row>
    <row r="24" spans="1:15" ht="10" x14ac:dyDescent="0.2">
      <c r="A24" s="110" t="str">
        <f>"CT_C1toANT!C"&amp;CT_HELP!A24&amp;":"&amp;INDEX(CT_HELP!$B$1:$B$200,$D$2+2)&amp;""&amp;CT_HELP!A24</f>
        <v>CT_C1toANT!C24:O24</v>
      </c>
      <c r="B24" s="549" t="str">
        <f>LanguageTable!B47</f>
        <v>Default cable</v>
      </c>
      <c r="C24" s="77" t="b">
        <v>1</v>
      </c>
      <c r="D24" s="77" t="b">
        <v>1</v>
      </c>
      <c r="E24" s="77" t="b">
        <v>1</v>
      </c>
      <c r="F24" s="77" t="b">
        <v>1</v>
      </c>
      <c r="G24" s="77" t="b">
        <v>1</v>
      </c>
      <c r="H24" s="77" t="b">
        <v>1</v>
      </c>
      <c r="I24" s="77" t="b">
        <v>1</v>
      </c>
      <c r="J24" s="77" t="b">
        <v>1</v>
      </c>
      <c r="K24" s="77" t="b">
        <v>1</v>
      </c>
      <c r="L24" s="77" t="b">
        <v>1</v>
      </c>
      <c r="M24" s="77" t="b">
        <v>1</v>
      </c>
      <c r="N24" s="161" t="b">
        <v>0</v>
      </c>
      <c r="O24" s="161" t="b">
        <v>0</v>
      </c>
    </row>
    <row r="25" spans="1:15" x14ac:dyDescent="0.25">
      <c r="B25" s="106"/>
    </row>
    <row r="26" spans="1:15" x14ac:dyDescent="0.25">
      <c r="B26" s="106"/>
    </row>
    <row r="27" spans="1:15" x14ac:dyDescent="0.25">
      <c r="B27" s="106"/>
    </row>
    <row r="28" spans="1:15" x14ac:dyDescent="0.25">
      <c r="B28" s="106"/>
    </row>
    <row r="29" spans="1:15" x14ac:dyDescent="0.25">
      <c r="B29" s="106"/>
    </row>
    <row r="30" spans="1:15" x14ac:dyDescent="0.25">
      <c r="B30" s="106"/>
      <c r="D30" s="2"/>
    </row>
    <row r="31" spans="1:15" x14ac:dyDescent="0.25">
      <c r="B31" s="106"/>
    </row>
    <row r="32" spans="1:15" x14ac:dyDescent="0.25">
      <c r="B32" s="106"/>
    </row>
    <row r="33" spans="2:2" x14ac:dyDescent="0.25">
      <c r="B33" s="106"/>
    </row>
    <row r="34" spans="2:2" x14ac:dyDescent="0.25">
      <c r="B34" s="106"/>
    </row>
    <row r="35" spans="2:2" x14ac:dyDescent="0.25">
      <c r="B35" s="106"/>
    </row>
    <row r="36" spans="2:2" x14ac:dyDescent="0.25">
      <c r="B36" s="106"/>
    </row>
    <row r="37" spans="2:2" x14ac:dyDescent="0.25">
      <c r="B37" s="106"/>
    </row>
    <row r="38" spans="2:2" x14ac:dyDescent="0.25">
      <c r="B38" s="106"/>
    </row>
    <row r="39" spans="2:2" x14ac:dyDescent="0.25">
      <c r="B39" s="106"/>
    </row>
    <row r="40" spans="2:2" x14ac:dyDescent="0.25">
      <c r="B40" s="106"/>
    </row>
    <row r="41" spans="2:2" x14ac:dyDescent="0.25">
      <c r="B41" s="106"/>
    </row>
    <row r="42" spans="2:2" x14ac:dyDescent="0.25">
      <c r="B42" s="106"/>
    </row>
    <row r="43" spans="2:2" x14ac:dyDescent="0.25">
      <c r="B43" s="106"/>
    </row>
    <row r="44" spans="2:2" x14ac:dyDescent="0.25">
      <c r="B44" s="106"/>
    </row>
    <row r="45" spans="2:2" x14ac:dyDescent="0.25">
      <c r="B45" s="106"/>
    </row>
    <row r="46" spans="2:2" x14ac:dyDescent="0.25">
      <c r="B46" s="106"/>
    </row>
    <row r="47" spans="2:2" x14ac:dyDescent="0.25">
      <c r="B47" s="106"/>
    </row>
    <row r="48" spans="2:2" x14ac:dyDescent="0.25">
      <c r="B48" s="106"/>
    </row>
    <row r="49" spans="2:2" x14ac:dyDescent="0.25">
      <c r="B49" s="106"/>
    </row>
    <row r="50" spans="2:2" x14ac:dyDescent="0.25">
      <c r="B50" s="106"/>
    </row>
    <row r="51" spans="2:2" x14ac:dyDescent="0.25">
      <c r="B51" s="106"/>
    </row>
    <row r="52" spans="2:2" x14ac:dyDescent="0.25">
      <c r="B52" s="106"/>
    </row>
    <row r="53" spans="2:2" x14ac:dyDescent="0.25">
      <c r="B53" s="106"/>
    </row>
    <row r="54" spans="2:2" x14ac:dyDescent="0.25">
      <c r="B54" s="106"/>
    </row>
    <row r="55" spans="2:2" x14ac:dyDescent="0.25">
      <c r="B55" s="106"/>
    </row>
    <row r="56" spans="2:2" x14ac:dyDescent="0.25">
      <c r="B56" s="106"/>
    </row>
    <row r="57" spans="2:2" x14ac:dyDescent="0.25">
      <c r="B57" s="106"/>
    </row>
    <row r="58" spans="2:2" x14ac:dyDescent="0.25">
      <c r="B58" s="106"/>
    </row>
    <row r="59" spans="2:2" x14ac:dyDescent="0.25">
      <c r="B59" s="106"/>
    </row>
    <row r="60" spans="2:2" x14ac:dyDescent="0.25">
      <c r="B60" s="106"/>
    </row>
    <row r="61" spans="2:2" x14ac:dyDescent="0.25">
      <c r="B61" s="106"/>
    </row>
    <row r="62" spans="2:2" x14ac:dyDescent="0.25">
      <c r="B62" s="106"/>
    </row>
    <row r="63" spans="2:2" x14ac:dyDescent="0.25">
      <c r="B63" s="106"/>
    </row>
    <row r="64" spans="2:2" x14ac:dyDescent="0.25">
      <c r="B64" s="106"/>
    </row>
    <row r="65" spans="2:2" x14ac:dyDescent="0.25">
      <c r="B65" s="106"/>
    </row>
    <row r="66" spans="2:2" x14ac:dyDescent="0.25">
      <c r="B66" s="106"/>
    </row>
    <row r="67" spans="2:2" x14ac:dyDescent="0.25">
      <c r="B67" s="106"/>
    </row>
    <row r="68" spans="2:2" x14ac:dyDescent="0.25">
      <c r="B68" s="106"/>
    </row>
    <row r="69" spans="2:2" x14ac:dyDescent="0.25">
      <c r="B69" s="106"/>
    </row>
    <row r="70" spans="2:2" x14ac:dyDescent="0.25">
      <c r="B70" s="106"/>
    </row>
    <row r="71" spans="2:2" x14ac:dyDescent="0.25">
      <c r="B71" s="106"/>
    </row>
    <row r="72" spans="2:2" x14ac:dyDescent="0.25">
      <c r="B72" s="106"/>
    </row>
    <row r="73" spans="2:2" x14ac:dyDescent="0.25">
      <c r="B73" s="106"/>
    </row>
    <row r="74" spans="2:2" x14ac:dyDescent="0.25">
      <c r="B74" s="106"/>
    </row>
    <row r="75" spans="2:2" x14ac:dyDescent="0.25">
      <c r="B75" s="106"/>
    </row>
    <row r="76" spans="2:2" x14ac:dyDescent="0.25">
      <c r="B76" s="106"/>
    </row>
    <row r="77" spans="2:2" x14ac:dyDescent="0.25">
      <c r="B77" s="106"/>
    </row>
    <row r="78" spans="2:2" x14ac:dyDescent="0.25">
      <c r="B78" s="106"/>
    </row>
    <row r="79" spans="2:2" x14ac:dyDescent="0.25">
      <c r="B79" s="106"/>
    </row>
    <row r="80" spans="2:2" x14ac:dyDescent="0.25">
      <c r="B80" s="106"/>
    </row>
    <row r="81" spans="2:2" x14ac:dyDescent="0.25">
      <c r="B81" s="106"/>
    </row>
    <row r="82" spans="2:2" x14ac:dyDescent="0.25">
      <c r="B82" s="106"/>
    </row>
    <row r="83" spans="2:2" x14ac:dyDescent="0.25">
      <c r="B83" s="106"/>
    </row>
    <row r="84" spans="2:2" x14ac:dyDescent="0.25">
      <c r="B84" s="106"/>
    </row>
    <row r="85" spans="2:2" x14ac:dyDescent="0.25">
      <c r="B85" s="106"/>
    </row>
    <row r="86" spans="2:2" x14ac:dyDescent="0.25">
      <c r="B86" s="106"/>
    </row>
    <row r="87" spans="2:2" x14ac:dyDescent="0.25">
      <c r="B87" s="106"/>
    </row>
    <row r="88" spans="2:2" x14ac:dyDescent="0.25">
      <c r="B88" s="106"/>
    </row>
    <row r="89" spans="2:2" x14ac:dyDescent="0.25">
      <c r="B89" s="106"/>
    </row>
    <row r="90" spans="2:2" x14ac:dyDescent="0.25">
      <c r="B90" s="106"/>
    </row>
    <row r="91" spans="2:2" x14ac:dyDescent="0.25">
      <c r="B91" s="106"/>
    </row>
    <row r="92" spans="2:2" x14ac:dyDescent="0.25">
      <c r="B92" s="106"/>
    </row>
    <row r="93" spans="2:2" x14ac:dyDescent="0.25">
      <c r="B93" s="106"/>
    </row>
    <row r="94" spans="2:2" x14ac:dyDescent="0.25">
      <c r="B94" s="106"/>
    </row>
    <row r="95" spans="2:2" x14ac:dyDescent="0.25">
      <c r="B95" s="106"/>
    </row>
    <row r="96" spans="2:2" x14ac:dyDescent="0.25">
      <c r="B96" s="106"/>
    </row>
    <row r="97" spans="2:2" x14ac:dyDescent="0.25">
      <c r="B97" s="106"/>
    </row>
    <row r="98" spans="2:2" x14ac:dyDescent="0.25">
      <c r="B98" s="106"/>
    </row>
    <row r="99" spans="2:2" x14ac:dyDescent="0.25">
      <c r="B99" s="106"/>
    </row>
    <row r="100" spans="2:2" x14ac:dyDescent="0.25">
      <c r="B100" s="106"/>
    </row>
    <row r="101" spans="2:2" x14ac:dyDescent="0.25">
      <c r="B101" s="106"/>
    </row>
    <row r="102" spans="2:2" x14ac:dyDescent="0.25">
      <c r="B102" s="106"/>
    </row>
    <row r="103" spans="2:2" x14ac:dyDescent="0.25">
      <c r="B103" s="106"/>
    </row>
    <row r="104" spans="2:2" x14ac:dyDescent="0.25">
      <c r="B104" s="106"/>
    </row>
    <row r="105" spans="2:2" x14ac:dyDescent="0.25">
      <c r="B105" s="106"/>
    </row>
    <row r="106" spans="2:2" x14ac:dyDescent="0.25">
      <c r="B106" s="106"/>
    </row>
    <row r="107" spans="2:2" x14ac:dyDescent="0.25">
      <c r="B107" s="106"/>
    </row>
    <row r="108" spans="2:2" x14ac:dyDescent="0.25">
      <c r="B108" s="106"/>
    </row>
    <row r="109" spans="2:2" x14ac:dyDescent="0.25">
      <c r="B109" s="106"/>
    </row>
    <row r="110" spans="2:2" x14ac:dyDescent="0.25">
      <c r="B110" s="106"/>
    </row>
    <row r="111" spans="2:2" x14ac:dyDescent="0.25">
      <c r="B111" s="106"/>
    </row>
    <row r="112" spans="2:2" x14ac:dyDescent="0.25">
      <c r="B112" s="106"/>
    </row>
    <row r="113" spans="2:2" x14ac:dyDescent="0.25">
      <c r="B113" s="106"/>
    </row>
    <row r="114" spans="2:2" x14ac:dyDescent="0.25">
      <c r="B114" s="106"/>
    </row>
    <row r="115" spans="2:2" x14ac:dyDescent="0.25">
      <c r="B115" s="106"/>
    </row>
    <row r="116" spans="2:2" x14ac:dyDescent="0.25">
      <c r="B116" s="106"/>
    </row>
    <row r="117" spans="2:2" x14ac:dyDescent="0.25">
      <c r="B117" s="106"/>
    </row>
    <row r="118" spans="2:2" x14ac:dyDescent="0.25">
      <c r="B118" s="106"/>
    </row>
    <row r="119" spans="2:2" x14ac:dyDescent="0.25">
      <c r="B119" s="106"/>
    </row>
    <row r="120" spans="2:2" x14ac:dyDescent="0.25">
      <c r="B120" s="106"/>
    </row>
    <row r="121" spans="2:2" x14ac:dyDescent="0.25">
      <c r="B121" s="106"/>
    </row>
    <row r="122" spans="2:2" x14ac:dyDescent="0.25">
      <c r="B122" s="106"/>
    </row>
    <row r="123" spans="2:2" x14ac:dyDescent="0.25">
      <c r="B123" s="106"/>
    </row>
    <row r="124" spans="2:2" x14ac:dyDescent="0.25">
      <c r="B124" s="106"/>
    </row>
    <row r="125" spans="2:2" x14ac:dyDescent="0.25">
      <c r="B125" s="106"/>
    </row>
    <row r="126" spans="2:2" x14ac:dyDescent="0.25">
      <c r="B126" s="106"/>
    </row>
    <row r="127" spans="2:2" x14ac:dyDescent="0.25">
      <c r="B127" s="106"/>
    </row>
    <row r="128" spans="2:2" x14ac:dyDescent="0.25">
      <c r="B128" s="106"/>
    </row>
    <row r="129" spans="2:2" x14ac:dyDescent="0.25">
      <c r="B129" s="106"/>
    </row>
    <row r="130" spans="2:2" x14ac:dyDescent="0.25">
      <c r="B130" s="106"/>
    </row>
    <row r="131" spans="2:2" x14ac:dyDescent="0.25">
      <c r="B131" s="106"/>
    </row>
    <row r="132" spans="2:2" x14ac:dyDescent="0.25">
      <c r="B132" s="106"/>
    </row>
    <row r="133" spans="2:2" x14ac:dyDescent="0.25">
      <c r="B133" s="106"/>
    </row>
    <row r="134" spans="2:2" x14ac:dyDescent="0.25">
      <c r="B134" s="106"/>
    </row>
    <row r="135" spans="2:2" x14ac:dyDescent="0.25">
      <c r="B135" s="106"/>
    </row>
    <row r="136" spans="2:2" x14ac:dyDescent="0.25">
      <c r="B136" s="106"/>
    </row>
    <row r="137" spans="2:2" x14ac:dyDescent="0.25">
      <c r="B137" s="106"/>
    </row>
    <row r="138" spans="2:2" x14ac:dyDescent="0.25">
      <c r="B138" s="106"/>
    </row>
    <row r="139" spans="2:2" x14ac:dyDescent="0.25">
      <c r="B139" s="106"/>
    </row>
    <row r="140" spans="2:2" x14ac:dyDescent="0.25">
      <c r="B140" s="106"/>
    </row>
    <row r="141" spans="2:2" x14ac:dyDescent="0.25">
      <c r="B141" s="106"/>
    </row>
    <row r="142" spans="2:2" x14ac:dyDescent="0.25">
      <c r="B142" s="106"/>
    </row>
    <row r="143" spans="2:2" x14ac:dyDescent="0.25">
      <c r="B143" s="106"/>
    </row>
    <row r="144" spans="2:2" x14ac:dyDescent="0.25">
      <c r="B144" s="106"/>
    </row>
    <row r="145" spans="2:2" x14ac:dyDescent="0.25">
      <c r="B145" s="106"/>
    </row>
    <row r="146" spans="2:2" x14ac:dyDescent="0.25">
      <c r="B146" s="106"/>
    </row>
    <row r="147" spans="2:2" x14ac:dyDescent="0.25">
      <c r="B147" s="106"/>
    </row>
    <row r="148" spans="2:2" x14ac:dyDescent="0.25">
      <c r="B148" s="106"/>
    </row>
    <row r="149" spans="2:2" x14ac:dyDescent="0.25">
      <c r="B149" s="106"/>
    </row>
    <row r="150" spans="2:2" x14ac:dyDescent="0.25">
      <c r="B150" s="106"/>
    </row>
    <row r="151" spans="2:2" x14ac:dyDescent="0.25">
      <c r="B151" s="106"/>
    </row>
    <row r="152" spans="2:2" x14ac:dyDescent="0.25">
      <c r="B152" s="106"/>
    </row>
    <row r="153" spans="2:2" x14ac:dyDescent="0.25">
      <c r="B153" s="106"/>
    </row>
    <row r="154" spans="2:2" x14ac:dyDescent="0.25">
      <c r="B154" s="106"/>
    </row>
    <row r="155" spans="2:2" x14ac:dyDescent="0.25">
      <c r="B155" s="106"/>
    </row>
    <row r="156" spans="2:2" x14ac:dyDescent="0.25">
      <c r="B156" s="106"/>
    </row>
    <row r="157" spans="2:2" x14ac:dyDescent="0.25">
      <c r="B157" s="106"/>
    </row>
    <row r="158" spans="2:2" x14ac:dyDescent="0.25">
      <c r="B158" s="106"/>
    </row>
    <row r="159" spans="2:2" x14ac:dyDescent="0.25">
      <c r="B159" s="106"/>
    </row>
    <row r="160" spans="2:2" x14ac:dyDescent="0.25">
      <c r="B160" s="106"/>
    </row>
    <row r="161" spans="2:2" x14ac:dyDescent="0.25">
      <c r="B161" s="106"/>
    </row>
    <row r="162" spans="2:2" x14ac:dyDescent="0.25">
      <c r="B162" s="106"/>
    </row>
    <row r="163" spans="2:2" x14ac:dyDescent="0.25">
      <c r="B163" s="106"/>
    </row>
    <row r="164" spans="2:2" x14ac:dyDescent="0.25">
      <c r="B164" s="106"/>
    </row>
    <row r="165" spans="2:2" x14ac:dyDescent="0.25">
      <c r="B165" s="106"/>
    </row>
    <row r="166" spans="2:2" x14ac:dyDescent="0.25">
      <c r="B166" s="106"/>
    </row>
    <row r="167" spans="2:2" x14ac:dyDescent="0.25">
      <c r="B167" s="106"/>
    </row>
    <row r="168" spans="2:2" x14ac:dyDescent="0.25">
      <c r="B168" s="106"/>
    </row>
    <row r="169" spans="2:2" x14ac:dyDescent="0.25">
      <c r="B169" s="106"/>
    </row>
    <row r="170" spans="2:2" x14ac:dyDescent="0.25">
      <c r="B170" s="106"/>
    </row>
    <row r="171" spans="2:2" x14ac:dyDescent="0.25">
      <c r="B171" s="106"/>
    </row>
    <row r="172" spans="2:2" x14ac:dyDescent="0.25">
      <c r="B172" s="106"/>
    </row>
    <row r="173" spans="2:2" x14ac:dyDescent="0.25">
      <c r="B173" s="106"/>
    </row>
    <row r="174" spans="2:2" x14ac:dyDescent="0.25">
      <c r="B174" s="106"/>
    </row>
    <row r="175" spans="2:2" x14ac:dyDescent="0.25">
      <c r="B175" s="106"/>
    </row>
    <row r="176" spans="2:2" x14ac:dyDescent="0.25">
      <c r="B176" s="106"/>
    </row>
    <row r="177" spans="2:2" x14ac:dyDescent="0.25">
      <c r="B177" s="106"/>
    </row>
    <row r="178" spans="2:2" x14ac:dyDescent="0.25">
      <c r="B178" s="106"/>
    </row>
    <row r="179" spans="2:2" x14ac:dyDescent="0.25">
      <c r="B179" s="106"/>
    </row>
    <row r="180" spans="2:2" x14ac:dyDescent="0.25">
      <c r="B180" s="106"/>
    </row>
    <row r="181" spans="2:2" x14ac:dyDescent="0.25">
      <c r="B181" s="106"/>
    </row>
    <row r="182" spans="2:2" x14ac:dyDescent="0.25">
      <c r="B182" s="106"/>
    </row>
    <row r="183" spans="2:2" x14ac:dyDescent="0.25">
      <c r="B183" s="106"/>
    </row>
    <row r="184" spans="2:2" x14ac:dyDescent="0.25">
      <c r="B184" s="106"/>
    </row>
    <row r="185" spans="2:2" x14ac:dyDescent="0.25">
      <c r="B185" s="106"/>
    </row>
    <row r="186" spans="2:2" x14ac:dyDescent="0.25">
      <c r="B186" s="106"/>
    </row>
    <row r="187" spans="2:2" x14ac:dyDescent="0.25">
      <c r="B187" s="106"/>
    </row>
    <row r="188" spans="2:2" x14ac:dyDescent="0.25">
      <c r="B188" s="106"/>
    </row>
    <row r="189" spans="2:2" x14ac:dyDescent="0.25">
      <c r="B189" s="106"/>
    </row>
    <row r="190" spans="2:2" x14ac:dyDescent="0.25">
      <c r="B190" s="106"/>
    </row>
    <row r="191" spans="2:2" x14ac:dyDescent="0.25">
      <c r="B191" s="106"/>
    </row>
    <row r="192" spans="2:2" x14ac:dyDescent="0.25">
      <c r="B192" s="106"/>
    </row>
    <row r="193" spans="2:2" x14ac:dyDescent="0.25">
      <c r="B193" s="106"/>
    </row>
    <row r="194" spans="2:2" x14ac:dyDescent="0.25">
      <c r="B194" s="106"/>
    </row>
    <row r="195" spans="2:2" x14ac:dyDescent="0.25">
      <c r="B195" s="106"/>
    </row>
    <row r="196" spans="2:2" x14ac:dyDescent="0.25">
      <c r="B196" s="106"/>
    </row>
    <row r="197" spans="2:2" x14ac:dyDescent="0.25">
      <c r="B197" s="106"/>
    </row>
    <row r="198" spans="2:2" x14ac:dyDescent="0.25">
      <c r="B198" s="106"/>
    </row>
    <row r="199" spans="2:2" x14ac:dyDescent="0.25">
      <c r="B199" s="106"/>
    </row>
    <row r="200" spans="2:2" x14ac:dyDescent="0.25">
      <c r="B200" s="106"/>
    </row>
    <row r="201" spans="2:2" x14ac:dyDescent="0.25">
      <c r="B201" s="106"/>
    </row>
    <row r="202" spans="2:2" x14ac:dyDescent="0.25">
      <c r="B202" s="106"/>
    </row>
    <row r="203" spans="2:2" x14ac:dyDescent="0.25">
      <c r="B203" s="106"/>
    </row>
    <row r="204" spans="2:2" x14ac:dyDescent="0.25">
      <c r="B204" s="106"/>
    </row>
    <row r="205" spans="2:2" x14ac:dyDescent="0.25">
      <c r="B205" s="106"/>
    </row>
    <row r="206" spans="2:2" x14ac:dyDescent="0.25">
      <c r="B206" s="106"/>
    </row>
    <row r="207" spans="2:2" x14ac:dyDescent="0.25">
      <c r="B207" s="60"/>
    </row>
  </sheetData>
  <phoneticPr fontId="2"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Q206"/>
  <sheetViews>
    <sheetView workbookViewId="0">
      <selection activeCell="D2" sqref="D2"/>
    </sheetView>
  </sheetViews>
  <sheetFormatPr baseColWidth="10" defaultColWidth="11.453125" defaultRowHeight="12.5" x14ac:dyDescent="0.25"/>
  <cols>
    <col min="1" max="1" width="18.81640625" style="1" bestFit="1" customWidth="1"/>
    <col min="2" max="2" width="21.7265625" style="1" bestFit="1" customWidth="1"/>
    <col min="3" max="3" width="28.7265625" style="1" bestFit="1" customWidth="1"/>
    <col min="4" max="4" width="19.26953125" style="1" bestFit="1" customWidth="1"/>
    <col min="5" max="5" width="21" style="1" bestFit="1" customWidth="1"/>
    <col min="6" max="7" width="18.453125" style="1" bestFit="1" customWidth="1"/>
    <col min="8" max="9" width="20.26953125" style="1" bestFit="1" customWidth="1"/>
    <col min="10" max="10" width="19.453125" style="1" bestFit="1" customWidth="1"/>
    <col min="11" max="11" width="18.1796875" style="1" bestFit="1" customWidth="1"/>
    <col min="12" max="12" width="16.1796875" bestFit="1" customWidth="1"/>
    <col min="13" max="13" width="16.7265625" bestFit="1" customWidth="1"/>
    <col min="14" max="14" width="16.1796875" bestFit="1" customWidth="1"/>
    <col min="15" max="15" width="16.7265625" style="1" bestFit="1" customWidth="1"/>
    <col min="16" max="16" width="16.453125" style="1" bestFit="1" customWidth="1"/>
    <col min="17" max="16384" width="11.453125" style="1"/>
  </cols>
  <sheetData>
    <row r="2" spans="1:199" x14ac:dyDescent="0.25">
      <c r="C2" s="5" t="s">
        <v>234</v>
      </c>
      <c r="D2" s="63">
        <f>COUNTA(C6:GQ6)</f>
        <v>14</v>
      </c>
      <c r="F2" s="5" t="s">
        <v>310</v>
      </c>
      <c r="G2" s="240" t="str">
        <f>"CT_STAtoANT!B7:B"&amp;D3+6</f>
        <v>CT_STAtoANT!B7:B13</v>
      </c>
    </row>
    <row r="3" spans="1:199" x14ac:dyDescent="0.25">
      <c r="C3" s="7" t="s">
        <v>247</v>
      </c>
      <c r="D3" s="69">
        <f>COUNTA(B7:B206)</f>
        <v>7</v>
      </c>
      <c r="F3" s="7" t="s">
        <v>311</v>
      </c>
      <c r="G3" s="69" t="str">
        <f>"CT_STAtoANT!C6:"&amp;INDEX(CT_HELP!$B$1:$B$200,$D$2+2)&amp;"6"</f>
        <v>CT_STAtoANT!C6:P6</v>
      </c>
    </row>
    <row r="5" spans="1:199" ht="10" x14ac:dyDescent="0.2">
      <c r="A5" s="110" t="str">
        <f>"CT_STAtoANT!A7:A"&amp;6+D3</f>
        <v>CT_STAtoANT!A7:A13</v>
      </c>
      <c r="C5" s="110" t="str">
        <f>"CT_STAtoANT!"&amp;CT_HELP!F5&amp;"7:"&amp;INDEX(CT_HELP!$B$1:$B$220,CT_HELP!F4)&amp;""&amp;SUM($D$3,6)</f>
        <v>CT_STAtoANT!C7:C13</v>
      </c>
      <c r="D5" s="110" t="str">
        <f>"CT_STAtoANT!"&amp;CT_HELP!G5&amp;"7:"&amp;INDEX(CT_HELP!$B$1:$B$220,CT_HELP!G4)&amp;""&amp;SUM($D$3,6)</f>
        <v>CT_STAtoANT!D7:D13</v>
      </c>
      <c r="E5" s="110" t="str">
        <f>"CT_STAtoANT!"&amp;CT_HELP!H5&amp;"7:"&amp;INDEX(CT_HELP!$B$1:$B$220,CT_HELP!H4)&amp;""&amp;SUM($D$3,6)</f>
        <v>CT_STAtoANT!E7:E13</v>
      </c>
      <c r="F5" s="110" t="str">
        <f>"CT_STAtoANT!"&amp;CT_HELP!I5&amp;"7:"&amp;INDEX(CT_HELP!$B$1:$B$220,CT_HELP!I4)&amp;""&amp;SUM($D$3,6)</f>
        <v>CT_STAtoANT!F7:F13</v>
      </c>
      <c r="G5" s="110" t="str">
        <f>"CT_STAtoANT!"&amp;CT_HELP!J5&amp;"7:"&amp;INDEX(CT_HELP!$B$1:$B$220,CT_HELP!J4)&amp;""&amp;SUM($D$3,6)</f>
        <v>CT_STAtoANT!G7:G13</v>
      </c>
      <c r="H5" s="110" t="str">
        <f>"CT_STAtoANT!"&amp;CT_HELP!K5&amp;"7:"&amp;INDEX(CT_HELP!$B$1:$B$220,CT_HELP!K4)&amp;""&amp;SUM($D$3,6)</f>
        <v>CT_STAtoANT!H7:H13</v>
      </c>
      <c r="I5" s="110" t="str">
        <f>"CT_STAtoANT!"&amp;CT_HELP!L5&amp;"7:"&amp;INDEX(CT_HELP!$B$1:$B$220,CT_HELP!L4)&amp;""&amp;SUM($D$3,6)</f>
        <v>CT_STAtoANT!I7:I13</v>
      </c>
      <c r="J5" s="110" t="str">
        <f>"CT_STAtoANT!"&amp;CT_HELP!M5&amp;"7:"&amp;INDEX(CT_HELP!$B$1:$B$220,CT_HELP!M4)&amp;""&amp;SUM($D$3,6)</f>
        <v>CT_STAtoANT!J7:J13</v>
      </c>
      <c r="K5" s="110" t="str">
        <f>"CT_STAtoANT!"&amp;CT_HELP!N5&amp;"7:"&amp;INDEX(CT_HELP!$B$1:$B$220,CT_HELP!N4)&amp;""&amp;SUM($D$3,6)</f>
        <v>CT_STAtoANT!K7:K13</v>
      </c>
      <c r="L5" s="110" t="str">
        <f>"CT_STAtoANT!"&amp;CT_HELP!O5&amp;"7:"&amp;INDEX(CT_HELP!$B$1:$B$220,CT_HELP!O4)&amp;""&amp;SUM($D$3,6)</f>
        <v>CT_STAtoANT!L7:L13</v>
      </c>
      <c r="M5" s="110" t="str">
        <f>"CT_STAtoANT!"&amp;CT_HELP!P5&amp;"7:"&amp;INDEX(CT_HELP!$B$1:$B$220,CT_HELP!P4)&amp;""&amp;SUM($D$3,6)</f>
        <v>CT_STAtoANT!M7:M13</v>
      </c>
      <c r="N5" s="110" t="str">
        <f>"CT_STAtoANT!"&amp;CT_HELP!Q5&amp;"7:"&amp;INDEX(CT_HELP!$B$1:$B$220,CT_HELP!Q4)&amp;""&amp;SUM($D$3,6)</f>
        <v>CT_STAtoANT!N7:N13</v>
      </c>
      <c r="O5" s="110" t="str">
        <f>"CT_STAtoANT!"&amp;CT_HELP!R5&amp;"7:"&amp;INDEX(CT_HELP!$B$1:$B$220,CT_HELP!R4)&amp;""&amp;SUM($D$3,6)</f>
        <v>CT_STAtoANT!O7:O13</v>
      </c>
      <c r="P5" s="110" t="str">
        <f>"CT_STAtoANT!"&amp;CT_HELP!S5&amp;"7:"&amp;INDEX(CT_HELP!$B$1:$B$220,CT_HELP!S4)&amp;""&amp;SUM($D$3,6)</f>
        <v>CT_STAtoANT!P7:P13</v>
      </c>
    </row>
    <row r="6" spans="1:199" ht="10.5" x14ac:dyDescent="0.25">
      <c r="B6" s="210" t="s">
        <v>280</v>
      </c>
      <c r="C6" s="211" t="s">
        <v>676</v>
      </c>
      <c r="D6" s="201" t="s">
        <v>687</v>
      </c>
      <c r="E6" s="200" t="s">
        <v>679</v>
      </c>
      <c r="F6" s="201" t="s">
        <v>600</v>
      </c>
      <c r="G6" s="201" t="s">
        <v>601</v>
      </c>
      <c r="H6" s="201" t="s">
        <v>675</v>
      </c>
      <c r="I6" s="201" t="s">
        <v>680</v>
      </c>
      <c r="J6" s="201" t="s">
        <v>681</v>
      </c>
      <c r="K6" s="201" t="s">
        <v>682</v>
      </c>
      <c r="L6" s="201" t="s">
        <v>728</v>
      </c>
      <c r="M6" s="201" t="s">
        <v>729</v>
      </c>
      <c r="N6" s="201" t="s">
        <v>697</v>
      </c>
      <c r="O6" s="547" t="str">
        <f>LanguageTable!B3</f>
        <v>Other antenna</v>
      </c>
      <c r="P6" s="547" t="str">
        <f>LanguageTable!B2</f>
        <v>Default antenna</v>
      </c>
      <c r="Q6" s="201"/>
      <c r="R6" s="201"/>
      <c r="S6" s="201"/>
      <c r="T6" s="201"/>
      <c r="U6" s="201"/>
      <c r="V6" s="201"/>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3"/>
    </row>
    <row r="7" spans="1:199" ht="10" x14ac:dyDescent="0.2">
      <c r="A7" s="110" t="str">
        <f>"CT_STAtoANT!C"&amp;CT_HELP!A7&amp;":"&amp;INDEX(CT_HELP!$B$1:$B$200,$D$2+2)&amp;""&amp;CT_HELP!A7</f>
        <v>CT_STAtoANT!C7:P7</v>
      </c>
      <c r="B7" s="194" t="s">
        <v>24</v>
      </c>
      <c r="C7" s="198" t="b">
        <v>0</v>
      </c>
      <c r="D7" s="198" t="b">
        <v>0</v>
      </c>
      <c r="E7" s="197" t="b">
        <v>1</v>
      </c>
      <c r="F7" s="197" t="b">
        <v>1</v>
      </c>
      <c r="G7" s="197" t="b">
        <v>1</v>
      </c>
      <c r="H7" s="197" t="b">
        <v>1</v>
      </c>
      <c r="I7" s="197" t="b">
        <v>1</v>
      </c>
      <c r="J7" s="197" t="b">
        <v>1</v>
      </c>
      <c r="K7" s="197" t="b">
        <v>1</v>
      </c>
      <c r="L7" s="197" t="b">
        <v>1</v>
      </c>
      <c r="M7" s="197" t="b">
        <v>1</v>
      </c>
      <c r="N7" s="197" t="b">
        <v>1</v>
      </c>
      <c r="O7" s="197" t="b">
        <v>1</v>
      </c>
      <c r="P7" s="197" t="b">
        <v>1</v>
      </c>
      <c r="Q7" s="24"/>
      <c r="R7" s="24"/>
      <c r="S7" s="24"/>
      <c r="T7" s="24"/>
      <c r="U7" s="24"/>
      <c r="V7" s="24"/>
    </row>
    <row r="8" spans="1:199" ht="10" x14ac:dyDescent="0.2">
      <c r="A8" s="110" t="str">
        <f>"CT_STAtoANT!C"&amp;CT_HELP!A8&amp;":"&amp;INDEX(CT_HELP!$B$1:$B$200,$D$2+2)&amp;""&amp;CT_HELP!A8</f>
        <v>CT_STAtoANT!C8:P8</v>
      </c>
      <c r="B8" s="195" t="s">
        <v>26</v>
      </c>
      <c r="C8" s="197" t="b">
        <v>1</v>
      </c>
      <c r="D8" s="197" t="b">
        <v>1</v>
      </c>
      <c r="E8" s="197" t="b">
        <v>1</v>
      </c>
      <c r="F8" s="197" t="b">
        <v>1</v>
      </c>
      <c r="G8" s="197" t="b">
        <v>1</v>
      </c>
      <c r="H8" s="197" t="b">
        <v>1</v>
      </c>
      <c r="I8" s="197" t="b">
        <v>1</v>
      </c>
      <c r="J8" s="197" t="b">
        <v>1</v>
      </c>
      <c r="K8" s="197" t="b">
        <v>1</v>
      </c>
      <c r="L8" s="197" t="b">
        <v>1</v>
      </c>
      <c r="M8" s="197" t="b">
        <v>1</v>
      </c>
      <c r="N8" s="197" t="b">
        <v>1</v>
      </c>
      <c r="O8" s="197" t="b">
        <v>1</v>
      </c>
      <c r="P8" s="197" t="b">
        <v>1</v>
      </c>
      <c r="Q8" s="24"/>
      <c r="R8" s="24"/>
      <c r="S8" s="24"/>
      <c r="T8" s="24"/>
      <c r="U8" s="24"/>
      <c r="V8" s="24"/>
    </row>
    <row r="9" spans="1:199" ht="10" x14ac:dyDescent="0.2">
      <c r="A9" s="110" t="str">
        <f>"CT_STAtoANT!C"&amp;CT_HELP!A9&amp;":"&amp;INDEX(CT_HELP!$B$1:$B$200,$D$2+2)&amp;""&amp;CT_HELP!A9</f>
        <v>CT_STAtoANT!C9:P9</v>
      </c>
      <c r="B9" s="97" t="s">
        <v>114</v>
      </c>
      <c r="C9" s="198" t="b">
        <v>0</v>
      </c>
      <c r="D9" s="198" t="b">
        <v>0</v>
      </c>
      <c r="E9" s="197" t="b">
        <v>1</v>
      </c>
      <c r="F9" s="197" t="b">
        <v>1</v>
      </c>
      <c r="G9" s="197" t="b">
        <v>1</v>
      </c>
      <c r="H9" s="197" t="b">
        <v>1</v>
      </c>
      <c r="I9" s="197" t="b">
        <v>1</v>
      </c>
      <c r="J9" s="197" t="b">
        <v>1</v>
      </c>
      <c r="K9" s="197" t="b">
        <v>1</v>
      </c>
      <c r="L9" s="197" t="b">
        <v>1</v>
      </c>
      <c r="M9" s="197" t="b">
        <v>1</v>
      </c>
      <c r="N9" s="197" t="b">
        <v>1</v>
      </c>
      <c r="O9" s="197" t="b">
        <v>1</v>
      </c>
      <c r="P9" s="197" t="b">
        <v>1</v>
      </c>
      <c r="Q9" s="24"/>
      <c r="R9" s="24"/>
      <c r="S9" s="24"/>
      <c r="T9" s="24"/>
      <c r="U9" s="24"/>
      <c r="V9" s="24"/>
    </row>
    <row r="10" spans="1:199" ht="10" x14ac:dyDescent="0.2">
      <c r="A10" s="110" t="str">
        <f>"CT_STAtoANT!C"&amp;CT_HELP!A10&amp;":"&amp;INDEX(CT_HELP!$B$1:$B$200,$D$2+2)&amp;""&amp;CT_HELP!A10</f>
        <v>CT_STAtoANT!C10:P10</v>
      </c>
      <c r="B10" s="97" t="s">
        <v>115</v>
      </c>
      <c r="C10" s="198" t="b">
        <v>0</v>
      </c>
      <c r="D10" s="197" t="b">
        <v>1</v>
      </c>
      <c r="E10" s="197" t="b">
        <v>1</v>
      </c>
      <c r="F10" s="197" t="b">
        <v>1</v>
      </c>
      <c r="G10" s="197" t="b">
        <v>1</v>
      </c>
      <c r="H10" s="197" t="b">
        <v>1</v>
      </c>
      <c r="I10" s="197" t="b">
        <v>1</v>
      </c>
      <c r="J10" s="197" t="b">
        <v>1</v>
      </c>
      <c r="K10" s="197" t="b">
        <v>1</v>
      </c>
      <c r="L10" s="197" t="b">
        <v>1</v>
      </c>
      <c r="M10" s="197" t="b">
        <v>1</v>
      </c>
      <c r="N10" s="197" t="b">
        <v>1</v>
      </c>
      <c r="O10" s="197" t="b">
        <v>1</v>
      </c>
      <c r="P10" s="197" t="b">
        <v>1</v>
      </c>
      <c r="Q10" s="24"/>
      <c r="R10" s="24"/>
      <c r="S10" s="24"/>
      <c r="T10" s="24"/>
      <c r="U10" s="24"/>
      <c r="V10" s="24"/>
    </row>
    <row r="11" spans="1:199" ht="10" x14ac:dyDescent="0.2">
      <c r="A11" s="110" t="str">
        <f>"CT_STAtoANT!C"&amp;CT_HELP!A11&amp;":"&amp;INDEX(CT_HELP!$B$1:$B$200,$D$2+2)&amp;""&amp;CT_HELP!A11</f>
        <v>CT_STAtoANT!C11:P11</v>
      </c>
      <c r="B11" s="97" t="s">
        <v>219</v>
      </c>
      <c r="C11" s="197" t="b">
        <v>1</v>
      </c>
      <c r="D11" s="197" t="b">
        <v>1</v>
      </c>
      <c r="E11" s="197" t="b">
        <v>1</v>
      </c>
      <c r="F11" s="197" t="b">
        <v>1</v>
      </c>
      <c r="G11" s="197" t="b">
        <v>1</v>
      </c>
      <c r="H11" s="197" t="b">
        <v>1</v>
      </c>
      <c r="I11" s="197" t="b">
        <v>1</v>
      </c>
      <c r="J11" s="197" t="b">
        <v>1</v>
      </c>
      <c r="K11" s="197" t="b">
        <v>1</v>
      </c>
      <c r="L11" s="197" t="b">
        <v>1</v>
      </c>
      <c r="M11" s="197" t="b">
        <v>1</v>
      </c>
      <c r="N11" s="197" t="b">
        <v>1</v>
      </c>
      <c r="O11" s="197" t="b">
        <v>1</v>
      </c>
      <c r="P11" s="197" t="b">
        <v>1</v>
      </c>
      <c r="Q11" s="24"/>
      <c r="R11" s="24"/>
      <c r="S11" s="24"/>
      <c r="T11" s="24"/>
      <c r="U11" s="24"/>
      <c r="V11" s="24"/>
    </row>
    <row r="12" spans="1:199" ht="10" x14ac:dyDescent="0.2">
      <c r="A12" s="110" t="str">
        <f>"CT_STAtoANT!C"&amp;CT_HELP!A12&amp;":"&amp;INDEX(CT_HELP!$B$1:$B$200,$D$2+2)&amp;""&amp;CT_HELP!A12</f>
        <v>CT_STAtoANT!C12:P12</v>
      </c>
      <c r="B12" s="97" t="s">
        <v>220</v>
      </c>
      <c r="C12" s="198" t="b">
        <v>0</v>
      </c>
      <c r="D12" s="198" t="b">
        <v>0</v>
      </c>
      <c r="E12" s="198" t="b">
        <v>0</v>
      </c>
      <c r="F12" s="198" t="b">
        <v>0</v>
      </c>
      <c r="G12" s="198" t="b">
        <v>0</v>
      </c>
      <c r="H12" s="198" t="b">
        <v>0</v>
      </c>
      <c r="I12" s="198" t="b">
        <v>0</v>
      </c>
      <c r="J12" s="198" t="b">
        <v>0</v>
      </c>
      <c r="K12" s="198" t="b">
        <v>0</v>
      </c>
      <c r="L12" s="198" t="b">
        <v>0</v>
      </c>
      <c r="M12" s="198" t="b">
        <v>0</v>
      </c>
      <c r="N12" s="198" t="b">
        <v>0</v>
      </c>
      <c r="O12" s="197" t="b">
        <v>1</v>
      </c>
      <c r="P12" s="197" t="b">
        <v>1</v>
      </c>
      <c r="Q12" s="24"/>
      <c r="R12" s="24"/>
      <c r="S12" s="24"/>
      <c r="T12" s="24"/>
      <c r="U12" s="24"/>
      <c r="V12" s="24"/>
    </row>
    <row r="13" spans="1:199" ht="10" x14ac:dyDescent="0.2">
      <c r="A13" s="110" t="str">
        <f>"CT_STAtoANT!C"&amp;CT_HELP!A13&amp;":"&amp;INDEX(CT_HELP!$B$1:$B$200,$D$2+2)&amp;""&amp;CT_HELP!A13</f>
        <v>CT_STAtoANT!C13:P13</v>
      </c>
      <c r="B13" s="415" t="s">
        <v>504</v>
      </c>
      <c r="C13" s="197" t="b">
        <v>1</v>
      </c>
      <c r="D13" s="197" t="b">
        <v>1</v>
      </c>
      <c r="E13" s="197" t="b">
        <v>1</v>
      </c>
      <c r="F13" s="197" t="b">
        <v>1</v>
      </c>
      <c r="G13" s="197" t="b">
        <v>1</v>
      </c>
      <c r="H13" s="197" t="b">
        <v>1</v>
      </c>
      <c r="I13" s="197" t="b">
        <v>1</v>
      </c>
      <c r="J13" s="197" t="b">
        <v>1</v>
      </c>
      <c r="K13" s="197" t="b">
        <v>1</v>
      </c>
      <c r="L13" s="197" t="b">
        <v>1</v>
      </c>
      <c r="M13" s="197" t="b">
        <v>1</v>
      </c>
      <c r="N13" s="197" t="b">
        <v>1</v>
      </c>
      <c r="O13" s="197" t="b">
        <v>1</v>
      </c>
      <c r="P13" s="197" t="b">
        <v>1</v>
      </c>
    </row>
    <row r="14" spans="1:199" x14ac:dyDescent="0.25">
      <c r="B14" s="106"/>
    </row>
    <row r="15" spans="1:199" x14ac:dyDescent="0.25">
      <c r="B15" s="106"/>
    </row>
    <row r="16" spans="1:199" x14ac:dyDescent="0.25">
      <c r="B16" s="106"/>
    </row>
    <row r="17" spans="2:2" x14ac:dyDescent="0.25">
      <c r="B17" s="106"/>
    </row>
    <row r="18" spans="2:2" x14ac:dyDescent="0.25">
      <c r="B18" s="106"/>
    </row>
    <row r="19" spans="2:2" x14ac:dyDescent="0.25">
      <c r="B19" s="106"/>
    </row>
    <row r="20" spans="2:2" x14ac:dyDescent="0.25">
      <c r="B20" s="106"/>
    </row>
    <row r="21" spans="2:2" x14ac:dyDescent="0.25">
      <c r="B21" s="106"/>
    </row>
    <row r="22" spans="2:2" x14ac:dyDescent="0.25">
      <c r="B22" s="106"/>
    </row>
    <row r="23" spans="2:2" x14ac:dyDescent="0.25">
      <c r="B23" s="106"/>
    </row>
    <row r="24" spans="2:2" x14ac:dyDescent="0.25">
      <c r="B24" s="106"/>
    </row>
    <row r="25" spans="2:2" x14ac:dyDescent="0.25">
      <c r="B25" s="106"/>
    </row>
    <row r="26" spans="2:2" x14ac:dyDescent="0.25">
      <c r="B26" s="106"/>
    </row>
    <row r="27" spans="2:2" x14ac:dyDescent="0.25">
      <c r="B27" s="106"/>
    </row>
    <row r="28" spans="2:2" x14ac:dyDescent="0.25">
      <c r="B28" s="106"/>
    </row>
    <row r="29" spans="2:2" x14ac:dyDescent="0.25">
      <c r="B29" s="106"/>
    </row>
    <row r="30" spans="2:2" x14ac:dyDescent="0.25">
      <c r="B30" s="106"/>
    </row>
    <row r="31" spans="2:2" x14ac:dyDescent="0.25">
      <c r="B31" s="106"/>
    </row>
    <row r="32" spans="2:2" x14ac:dyDescent="0.25">
      <c r="B32" s="106"/>
    </row>
    <row r="33" spans="2:2" x14ac:dyDescent="0.25">
      <c r="B33" s="106"/>
    </row>
    <row r="34" spans="2:2" x14ac:dyDescent="0.25">
      <c r="B34" s="106"/>
    </row>
    <row r="35" spans="2:2" x14ac:dyDescent="0.25">
      <c r="B35" s="106"/>
    </row>
    <row r="36" spans="2:2" x14ac:dyDescent="0.25">
      <c r="B36" s="106"/>
    </row>
    <row r="37" spans="2:2" x14ac:dyDescent="0.25">
      <c r="B37" s="106"/>
    </row>
    <row r="38" spans="2:2" x14ac:dyDescent="0.25">
      <c r="B38" s="106"/>
    </row>
    <row r="39" spans="2:2" x14ac:dyDescent="0.25">
      <c r="B39" s="106"/>
    </row>
    <row r="40" spans="2:2" x14ac:dyDescent="0.25">
      <c r="B40" s="106"/>
    </row>
    <row r="41" spans="2:2" x14ac:dyDescent="0.25">
      <c r="B41" s="106"/>
    </row>
    <row r="42" spans="2:2" x14ac:dyDescent="0.25">
      <c r="B42" s="106"/>
    </row>
    <row r="43" spans="2:2" x14ac:dyDescent="0.25">
      <c r="B43" s="106"/>
    </row>
    <row r="44" spans="2:2" x14ac:dyDescent="0.25">
      <c r="B44" s="106"/>
    </row>
    <row r="45" spans="2:2" x14ac:dyDescent="0.25">
      <c r="B45" s="106"/>
    </row>
    <row r="46" spans="2:2" x14ac:dyDescent="0.25">
      <c r="B46" s="106"/>
    </row>
    <row r="47" spans="2:2" x14ac:dyDescent="0.25">
      <c r="B47" s="106"/>
    </row>
    <row r="48" spans="2:2" x14ac:dyDescent="0.25">
      <c r="B48" s="106"/>
    </row>
    <row r="49" spans="2:2" x14ac:dyDescent="0.25">
      <c r="B49" s="106"/>
    </row>
    <row r="50" spans="2:2" x14ac:dyDescent="0.25">
      <c r="B50" s="106"/>
    </row>
    <row r="51" spans="2:2" x14ac:dyDescent="0.25">
      <c r="B51" s="106"/>
    </row>
    <row r="52" spans="2:2" x14ac:dyDescent="0.25">
      <c r="B52" s="106"/>
    </row>
    <row r="53" spans="2:2" x14ac:dyDescent="0.25">
      <c r="B53" s="106"/>
    </row>
    <row r="54" spans="2:2" x14ac:dyDescent="0.25">
      <c r="B54" s="106"/>
    </row>
    <row r="55" spans="2:2" x14ac:dyDescent="0.25">
      <c r="B55" s="106"/>
    </row>
    <row r="56" spans="2:2" x14ac:dyDescent="0.25">
      <c r="B56" s="106"/>
    </row>
    <row r="57" spans="2:2" x14ac:dyDescent="0.25">
      <c r="B57" s="106"/>
    </row>
    <row r="58" spans="2:2" x14ac:dyDescent="0.25">
      <c r="B58" s="106"/>
    </row>
    <row r="59" spans="2:2" x14ac:dyDescent="0.25">
      <c r="B59" s="106"/>
    </row>
    <row r="60" spans="2:2" x14ac:dyDescent="0.25">
      <c r="B60" s="106"/>
    </row>
    <row r="61" spans="2:2" x14ac:dyDescent="0.25">
      <c r="B61" s="106"/>
    </row>
    <row r="62" spans="2:2" x14ac:dyDescent="0.25">
      <c r="B62" s="106"/>
    </row>
    <row r="63" spans="2:2" x14ac:dyDescent="0.25">
      <c r="B63" s="106"/>
    </row>
    <row r="64" spans="2:2" x14ac:dyDescent="0.25">
      <c r="B64" s="106"/>
    </row>
    <row r="65" spans="2:2" x14ac:dyDescent="0.25">
      <c r="B65" s="106"/>
    </row>
    <row r="66" spans="2:2" x14ac:dyDescent="0.25">
      <c r="B66" s="106"/>
    </row>
    <row r="67" spans="2:2" x14ac:dyDescent="0.25">
      <c r="B67" s="106"/>
    </row>
    <row r="68" spans="2:2" x14ac:dyDescent="0.25">
      <c r="B68" s="106"/>
    </row>
    <row r="69" spans="2:2" x14ac:dyDescent="0.25">
      <c r="B69" s="106"/>
    </row>
    <row r="70" spans="2:2" x14ac:dyDescent="0.25">
      <c r="B70" s="106"/>
    </row>
    <row r="71" spans="2:2" x14ac:dyDescent="0.25">
      <c r="B71" s="106"/>
    </row>
    <row r="72" spans="2:2" x14ac:dyDescent="0.25">
      <c r="B72" s="106"/>
    </row>
    <row r="73" spans="2:2" x14ac:dyDescent="0.25">
      <c r="B73" s="106"/>
    </row>
    <row r="74" spans="2:2" x14ac:dyDescent="0.25">
      <c r="B74" s="106"/>
    </row>
    <row r="75" spans="2:2" x14ac:dyDescent="0.25">
      <c r="B75" s="106"/>
    </row>
    <row r="76" spans="2:2" x14ac:dyDescent="0.25">
      <c r="B76" s="106"/>
    </row>
    <row r="77" spans="2:2" x14ac:dyDescent="0.25">
      <c r="B77" s="106"/>
    </row>
    <row r="78" spans="2:2" x14ac:dyDescent="0.25">
      <c r="B78" s="106"/>
    </row>
    <row r="79" spans="2:2" x14ac:dyDescent="0.25">
      <c r="B79" s="106"/>
    </row>
    <row r="80" spans="2:2" x14ac:dyDescent="0.25">
      <c r="B80" s="106"/>
    </row>
    <row r="81" spans="2:2" x14ac:dyDescent="0.25">
      <c r="B81" s="106"/>
    </row>
    <row r="82" spans="2:2" x14ac:dyDescent="0.25">
      <c r="B82" s="106"/>
    </row>
    <row r="83" spans="2:2" x14ac:dyDescent="0.25">
      <c r="B83" s="106"/>
    </row>
    <row r="84" spans="2:2" x14ac:dyDescent="0.25">
      <c r="B84" s="106"/>
    </row>
    <row r="85" spans="2:2" x14ac:dyDescent="0.25">
      <c r="B85" s="106"/>
    </row>
    <row r="86" spans="2:2" x14ac:dyDescent="0.25">
      <c r="B86" s="106"/>
    </row>
    <row r="87" spans="2:2" x14ac:dyDescent="0.25">
      <c r="B87" s="106"/>
    </row>
    <row r="88" spans="2:2" x14ac:dyDescent="0.25">
      <c r="B88" s="106"/>
    </row>
    <row r="89" spans="2:2" x14ac:dyDescent="0.25">
      <c r="B89" s="106"/>
    </row>
    <row r="90" spans="2:2" x14ac:dyDescent="0.25">
      <c r="B90" s="106"/>
    </row>
    <row r="91" spans="2:2" x14ac:dyDescent="0.25">
      <c r="B91" s="106"/>
    </row>
    <row r="92" spans="2:2" x14ac:dyDescent="0.25">
      <c r="B92" s="106"/>
    </row>
    <row r="93" spans="2:2" x14ac:dyDescent="0.25">
      <c r="B93" s="106"/>
    </row>
    <row r="94" spans="2:2" x14ac:dyDescent="0.25">
      <c r="B94" s="106"/>
    </row>
    <row r="95" spans="2:2" x14ac:dyDescent="0.25">
      <c r="B95" s="106"/>
    </row>
    <row r="96" spans="2:2" x14ac:dyDescent="0.25">
      <c r="B96" s="106"/>
    </row>
    <row r="97" spans="2:2" x14ac:dyDescent="0.25">
      <c r="B97" s="106"/>
    </row>
    <row r="98" spans="2:2" x14ac:dyDescent="0.25">
      <c r="B98" s="106"/>
    </row>
    <row r="99" spans="2:2" x14ac:dyDescent="0.25">
      <c r="B99" s="106"/>
    </row>
    <row r="100" spans="2:2" x14ac:dyDescent="0.25">
      <c r="B100" s="106"/>
    </row>
    <row r="101" spans="2:2" x14ac:dyDescent="0.25">
      <c r="B101" s="106"/>
    </row>
    <row r="102" spans="2:2" x14ac:dyDescent="0.25">
      <c r="B102" s="106"/>
    </row>
    <row r="103" spans="2:2" x14ac:dyDescent="0.25">
      <c r="B103" s="106"/>
    </row>
    <row r="104" spans="2:2" x14ac:dyDescent="0.25">
      <c r="B104" s="106"/>
    </row>
    <row r="105" spans="2:2" x14ac:dyDescent="0.25">
      <c r="B105" s="106"/>
    </row>
    <row r="106" spans="2:2" x14ac:dyDescent="0.25">
      <c r="B106" s="106"/>
    </row>
    <row r="107" spans="2:2" x14ac:dyDescent="0.25">
      <c r="B107" s="106"/>
    </row>
    <row r="108" spans="2:2" x14ac:dyDescent="0.25">
      <c r="B108" s="106"/>
    </row>
    <row r="109" spans="2:2" x14ac:dyDescent="0.25">
      <c r="B109" s="106"/>
    </row>
    <row r="110" spans="2:2" x14ac:dyDescent="0.25">
      <c r="B110" s="106"/>
    </row>
    <row r="111" spans="2:2" x14ac:dyDescent="0.25">
      <c r="B111" s="106"/>
    </row>
    <row r="112" spans="2:2" x14ac:dyDescent="0.25">
      <c r="B112" s="106"/>
    </row>
    <row r="113" spans="2:2" x14ac:dyDescent="0.25">
      <c r="B113" s="106"/>
    </row>
    <row r="114" spans="2:2" x14ac:dyDescent="0.25">
      <c r="B114" s="106"/>
    </row>
    <row r="115" spans="2:2" x14ac:dyDescent="0.25">
      <c r="B115" s="106"/>
    </row>
    <row r="116" spans="2:2" x14ac:dyDescent="0.25">
      <c r="B116" s="106"/>
    </row>
    <row r="117" spans="2:2" x14ac:dyDescent="0.25">
      <c r="B117" s="106"/>
    </row>
    <row r="118" spans="2:2" x14ac:dyDescent="0.25">
      <c r="B118" s="106"/>
    </row>
    <row r="119" spans="2:2" x14ac:dyDescent="0.25">
      <c r="B119" s="106"/>
    </row>
    <row r="120" spans="2:2" x14ac:dyDescent="0.25">
      <c r="B120" s="106"/>
    </row>
    <row r="121" spans="2:2" x14ac:dyDescent="0.25">
      <c r="B121" s="106"/>
    </row>
    <row r="122" spans="2:2" x14ac:dyDescent="0.25">
      <c r="B122" s="106"/>
    </row>
    <row r="123" spans="2:2" x14ac:dyDescent="0.25">
      <c r="B123" s="106"/>
    </row>
    <row r="124" spans="2:2" x14ac:dyDescent="0.25">
      <c r="B124" s="106"/>
    </row>
    <row r="125" spans="2:2" x14ac:dyDescent="0.25">
      <c r="B125" s="106"/>
    </row>
    <row r="126" spans="2:2" x14ac:dyDescent="0.25">
      <c r="B126" s="106"/>
    </row>
    <row r="127" spans="2:2" x14ac:dyDescent="0.25">
      <c r="B127" s="106"/>
    </row>
    <row r="128" spans="2:2" x14ac:dyDescent="0.25">
      <c r="B128" s="106"/>
    </row>
    <row r="129" spans="2:2" x14ac:dyDescent="0.25">
      <c r="B129" s="106"/>
    </row>
    <row r="130" spans="2:2" x14ac:dyDescent="0.25">
      <c r="B130" s="106"/>
    </row>
    <row r="131" spans="2:2" x14ac:dyDescent="0.25">
      <c r="B131" s="106"/>
    </row>
    <row r="132" spans="2:2" x14ac:dyDescent="0.25">
      <c r="B132" s="106"/>
    </row>
    <row r="133" spans="2:2" x14ac:dyDescent="0.25">
      <c r="B133" s="106"/>
    </row>
    <row r="134" spans="2:2" x14ac:dyDescent="0.25">
      <c r="B134" s="106"/>
    </row>
    <row r="135" spans="2:2" x14ac:dyDescent="0.25">
      <c r="B135" s="106"/>
    </row>
    <row r="136" spans="2:2" x14ac:dyDescent="0.25">
      <c r="B136" s="106"/>
    </row>
    <row r="137" spans="2:2" x14ac:dyDescent="0.25">
      <c r="B137" s="106"/>
    </row>
    <row r="138" spans="2:2" x14ac:dyDescent="0.25">
      <c r="B138" s="106"/>
    </row>
    <row r="139" spans="2:2" x14ac:dyDescent="0.25">
      <c r="B139" s="106"/>
    </row>
    <row r="140" spans="2:2" x14ac:dyDescent="0.25">
      <c r="B140" s="106"/>
    </row>
    <row r="141" spans="2:2" x14ac:dyDescent="0.25">
      <c r="B141" s="106"/>
    </row>
    <row r="142" spans="2:2" x14ac:dyDescent="0.25">
      <c r="B142" s="106"/>
    </row>
    <row r="143" spans="2:2" x14ac:dyDescent="0.25">
      <c r="B143" s="106"/>
    </row>
    <row r="144" spans="2:2" x14ac:dyDescent="0.25">
      <c r="B144" s="106"/>
    </row>
    <row r="145" spans="2:2" x14ac:dyDescent="0.25">
      <c r="B145" s="106"/>
    </row>
    <row r="146" spans="2:2" x14ac:dyDescent="0.25">
      <c r="B146" s="106"/>
    </row>
    <row r="147" spans="2:2" x14ac:dyDescent="0.25">
      <c r="B147" s="106"/>
    </row>
    <row r="148" spans="2:2" x14ac:dyDescent="0.25">
      <c r="B148" s="106"/>
    </row>
    <row r="149" spans="2:2" x14ac:dyDescent="0.25">
      <c r="B149" s="106"/>
    </row>
    <row r="150" spans="2:2" x14ac:dyDescent="0.25">
      <c r="B150" s="106"/>
    </row>
    <row r="151" spans="2:2" x14ac:dyDescent="0.25">
      <c r="B151" s="106"/>
    </row>
    <row r="152" spans="2:2" x14ac:dyDescent="0.25">
      <c r="B152" s="106"/>
    </row>
    <row r="153" spans="2:2" x14ac:dyDescent="0.25">
      <c r="B153" s="106"/>
    </row>
    <row r="154" spans="2:2" x14ac:dyDescent="0.25">
      <c r="B154" s="106"/>
    </row>
    <row r="155" spans="2:2" x14ac:dyDescent="0.25">
      <c r="B155" s="106"/>
    </row>
    <row r="156" spans="2:2" x14ac:dyDescent="0.25">
      <c r="B156" s="106"/>
    </row>
    <row r="157" spans="2:2" x14ac:dyDescent="0.25">
      <c r="B157" s="106"/>
    </row>
    <row r="158" spans="2:2" x14ac:dyDescent="0.25">
      <c r="B158" s="106"/>
    </row>
    <row r="159" spans="2:2" x14ac:dyDescent="0.25">
      <c r="B159" s="106"/>
    </row>
    <row r="160" spans="2:2" x14ac:dyDescent="0.25">
      <c r="B160" s="106"/>
    </row>
    <row r="161" spans="2:2" x14ac:dyDescent="0.25">
      <c r="B161" s="106"/>
    </row>
    <row r="162" spans="2:2" x14ac:dyDescent="0.25">
      <c r="B162" s="106"/>
    </row>
    <row r="163" spans="2:2" x14ac:dyDescent="0.25">
      <c r="B163" s="106"/>
    </row>
    <row r="164" spans="2:2" x14ac:dyDescent="0.25">
      <c r="B164" s="106"/>
    </row>
    <row r="165" spans="2:2" x14ac:dyDescent="0.25">
      <c r="B165" s="106"/>
    </row>
    <row r="166" spans="2:2" x14ac:dyDescent="0.25">
      <c r="B166" s="106"/>
    </row>
    <row r="167" spans="2:2" x14ac:dyDescent="0.25">
      <c r="B167" s="106"/>
    </row>
    <row r="168" spans="2:2" x14ac:dyDescent="0.25">
      <c r="B168" s="106"/>
    </row>
    <row r="169" spans="2:2" x14ac:dyDescent="0.25">
      <c r="B169" s="106"/>
    </row>
    <row r="170" spans="2:2" x14ac:dyDescent="0.25">
      <c r="B170" s="106"/>
    </row>
    <row r="171" spans="2:2" x14ac:dyDescent="0.25">
      <c r="B171" s="106"/>
    </row>
    <row r="172" spans="2:2" x14ac:dyDescent="0.25">
      <c r="B172" s="106"/>
    </row>
    <row r="173" spans="2:2" x14ac:dyDescent="0.25">
      <c r="B173" s="106"/>
    </row>
    <row r="174" spans="2:2" x14ac:dyDescent="0.25">
      <c r="B174" s="106"/>
    </row>
    <row r="175" spans="2:2" x14ac:dyDescent="0.25">
      <c r="B175" s="106"/>
    </row>
    <row r="176" spans="2:2" x14ac:dyDescent="0.25">
      <c r="B176" s="106"/>
    </row>
    <row r="177" spans="2:2" x14ac:dyDescent="0.25">
      <c r="B177" s="106"/>
    </row>
    <row r="178" spans="2:2" x14ac:dyDescent="0.25">
      <c r="B178" s="106"/>
    </row>
    <row r="179" spans="2:2" x14ac:dyDescent="0.25">
      <c r="B179" s="106"/>
    </row>
    <row r="180" spans="2:2" x14ac:dyDescent="0.25">
      <c r="B180" s="106"/>
    </row>
    <row r="181" spans="2:2" x14ac:dyDescent="0.25">
      <c r="B181" s="106"/>
    </row>
    <row r="182" spans="2:2" x14ac:dyDescent="0.25">
      <c r="B182" s="106"/>
    </row>
    <row r="183" spans="2:2" x14ac:dyDescent="0.25">
      <c r="B183" s="106"/>
    </row>
    <row r="184" spans="2:2" x14ac:dyDescent="0.25">
      <c r="B184" s="106"/>
    </row>
    <row r="185" spans="2:2" x14ac:dyDescent="0.25">
      <c r="B185" s="106"/>
    </row>
    <row r="186" spans="2:2" x14ac:dyDescent="0.25">
      <c r="B186" s="106"/>
    </row>
    <row r="187" spans="2:2" x14ac:dyDescent="0.25">
      <c r="B187" s="106"/>
    </row>
    <row r="188" spans="2:2" x14ac:dyDescent="0.25">
      <c r="B188" s="106"/>
    </row>
    <row r="189" spans="2:2" x14ac:dyDescent="0.25">
      <c r="B189" s="106"/>
    </row>
    <row r="190" spans="2:2" x14ac:dyDescent="0.25">
      <c r="B190" s="106"/>
    </row>
    <row r="191" spans="2:2" x14ac:dyDescent="0.25">
      <c r="B191" s="106"/>
    </row>
    <row r="192" spans="2:2" x14ac:dyDescent="0.25">
      <c r="B192" s="106"/>
    </row>
    <row r="193" spans="2:2" x14ac:dyDescent="0.25">
      <c r="B193" s="106"/>
    </row>
    <row r="194" spans="2:2" x14ac:dyDescent="0.25">
      <c r="B194" s="106"/>
    </row>
    <row r="195" spans="2:2" x14ac:dyDescent="0.25">
      <c r="B195" s="106"/>
    </row>
    <row r="196" spans="2:2" x14ac:dyDescent="0.25">
      <c r="B196" s="106"/>
    </row>
    <row r="197" spans="2:2" x14ac:dyDescent="0.25">
      <c r="B197" s="106"/>
    </row>
    <row r="198" spans="2:2" x14ac:dyDescent="0.25">
      <c r="B198" s="106"/>
    </row>
    <row r="199" spans="2:2" x14ac:dyDescent="0.25">
      <c r="B199" s="106"/>
    </row>
    <row r="200" spans="2:2" x14ac:dyDescent="0.25">
      <c r="B200" s="106"/>
    </row>
    <row r="201" spans="2:2" x14ac:dyDescent="0.25">
      <c r="B201" s="106"/>
    </row>
    <row r="202" spans="2:2" x14ac:dyDescent="0.25">
      <c r="B202" s="106"/>
    </row>
    <row r="203" spans="2:2" x14ac:dyDescent="0.25">
      <c r="B203" s="106"/>
    </row>
    <row r="204" spans="2:2" x14ac:dyDescent="0.25">
      <c r="B204" s="106"/>
    </row>
    <row r="205" spans="2:2" x14ac:dyDescent="0.25">
      <c r="B205" s="106"/>
    </row>
    <row r="206" spans="2:2" x14ac:dyDescent="0.25">
      <c r="B206" s="60"/>
    </row>
  </sheetData>
  <phoneticPr fontId="2"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GR206"/>
  <sheetViews>
    <sheetView workbookViewId="0">
      <selection activeCell="D2" sqref="D2"/>
    </sheetView>
  </sheetViews>
  <sheetFormatPr baseColWidth="10" defaultColWidth="11.453125" defaultRowHeight="10" x14ac:dyDescent="0.2"/>
  <cols>
    <col min="1" max="1" width="20.26953125" style="1" bestFit="1" customWidth="1"/>
    <col min="2" max="2" width="25.453125" style="1" bestFit="1" customWidth="1"/>
    <col min="3" max="3" width="28.7265625" style="1" bestFit="1" customWidth="1"/>
    <col min="4" max="4" width="19.54296875" style="1" bestFit="1" customWidth="1"/>
    <col min="5" max="6" width="19.26953125" style="1" bestFit="1" customWidth="1"/>
    <col min="7" max="7" width="19.81640625" style="1" bestFit="1" customWidth="1"/>
    <col min="8" max="8" width="19.54296875" style="1" bestFit="1" customWidth="1"/>
    <col min="9" max="9" width="18.1796875" style="1" bestFit="1" customWidth="1"/>
    <col min="10" max="11" width="19.54296875" style="1" bestFit="1" customWidth="1"/>
    <col min="12" max="12" width="19.26953125" style="1" bestFit="1" customWidth="1"/>
    <col min="13" max="13" width="19.81640625" style="1" bestFit="1" customWidth="1"/>
    <col min="14" max="14" width="21.81640625" style="1" bestFit="1" customWidth="1"/>
    <col min="15" max="15" width="18.1796875" style="1" bestFit="1" customWidth="1"/>
    <col min="16" max="16" width="17.54296875" style="1" bestFit="1" customWidth="1"/>
    <col min="17" max="17" width="18.1796875" style="1" bestFit="1" customWidth="1"/>
    <col min="18" max="19" width="17.81640625" style="1" bestFit="1" customWidth="1"/>
    <col min="20" max="20" width="17.54296875" style="1" bestFit="1" customWidth="1"/>
    <col min="21" max="21" width="17.81640625" style="1" bestFit="1" customWidth="1"/>
    <col min="22" max="22" width="18.1796875" style="1" bestFit="1" customWidth="1"/>
    <col min="23" max="23" width="18.7265625" style="1" bestFit="1" customWidth="1"/>
    <col min="24" max="24" width="17.81640625" style="1" bestFit="1" customWidth="1"/>
    <col min="25" max="25" width="18.1796875" style="1" bestFit="1" customWidth="1"/>
    <col min="26" max="26" width="17.81640625" style="1" bestFit="1" customWidth="1"/>
    <col min="27" max="16384" width="11.453125" style="1"/>
  </cols>
  <sheetData>
    <row r="2" spans="1:200" x14ac:dyDescent="0.2">
      <c r="C2" s="5" t="s">
        <v>245</v>
      </c>
      <c r="D2" s="63">
        <f>COUNTA(C6:GR6)</f>
        <v>24</v>
      </c>
      <c r="F2" s="5" t="s">
        <v>297</v>
      </c>
      <c r="G2" s="240" t="str">
        <f>"CT_STAtoWLAN!B7:B"&amp;D3+6</f>
        <v>CT_STAtoWLAN!B7:B13</v>
      </c>
    </row>
    <row r="3" spans="1:200" x14ac:dyDescent="0.2">
      <c r="C3" s="7" t="s">
        <v>247</v>
      </c>
      <c r="D3" s="69">
        <f>COUNTA(B7:B206)</f>
        <v>7</v>
      </c>
      <c r="F3" s="7" t="s">
        <v>293</v>
      </c>
      <c r="G3" s="69" t="str">
        <f>"CT_STAtoWLAN!C6:"&amp;INDEX(CT_HELP!$B$1:$B$200,$D$2+2)&amp;"6"</f>
        <v>CT_STAtoWLAN!C6:Z6</v>
      </c>
    </row>
    <row r="4" spans="1:200" x14ac:dyDescent="0.2">
      <c r="B4" s="110" t="str">
        <f>"CT_STAtoWLAN!C5:"&amp;INDEX(CT_HELP!$B$1:$B$200,$D$2+2)&amp;"5"</f>
        <v>CT_STAtoWLAN!C5:Z5</v>
      </c>
    </row>
    <row r="5" spans="1:200" x14ac:dyDescent="0.2">
      <c r="A5" s="110" t="str">
        <f>"CT_STAtoWLAN!A7:A"&amp;D3+6</f>
        <v>CT_STAtoWLAN!A7:A13</v>
      </c>
      <c r="C5" s="110" t="str">
        <f>"CT_STAtoWLAN!"&amp;CT_HELP!F5&amp;"7:"&amp;INDEX(CT_HELP!$B$1:$B$220,CT_HELP!F4)&amp;""&amp;SUM($D$3,6)</f>
        <v>CT_STAtoWLAN!C7:C13</v>
      </c>
      <c r="D5" s="110" t="str">
        <f>"CT_STAtoWLAN!"&amp;CT_HELP!G5&amp;"7:"&amp;INDEX(CT_HELP!$B$1:$B$220,CT_HELP!G4)&amp;""&amp;SUM($D$3,6)</f>
        <v>CT_STAtoWLAN!D7:D13</v>
      </c>
      <c r="E5" s="110" t="str">
        <f>"CT_STAtoWLAN!"&amp;CT_HELP!H5&amp;"7:"&amp;INDEX(CT_HELP!$B$1:$B$220,CT_HELP!H4)&amp;""&amp;SUM($D$3,6)</f>
        <v>CT_STAtoWLAN!E7:E13</v>
      </c>
      <c r="F5" s="110" t="str">
        <f>"CT_STAtoWLAN!"&amp;CT_HELP!I5&amp;"7:"&amp;INDEX(CT_HELP!$B$1:$B$220,CT_HELP!I4)&amp;""&amp;SUM($D$3,6)</f>
        <v>CT_STAtoWLAN!F7:F13</v>
      </c>
      <c r="G5" s="110" t="str">
        <f>"CT_STAtoWLAN!"&amp;CT_HELP!J5&amp;"7:"&amp;INDEX(CT_HELP!$B$1:$B$220,CT_HELP!J4)&amp;""&amp;SUM($D$3,6)</f>
        <v>CT_STAtoWLAN!G7:G13</v>
      </c>
      <c r="H5" s="110" t="str">
        <f>"CT_STAtoWLAN!"&amp;CT_HELP!K5&amp;"7:"&amp;INDEX(CT_HELP!$B$1:$B$220,CT_HELP!K4)&amp;""&amp;SUM($D$3,6)</f>
        <v>CT_STAtoWLAN!H7:H13</v>
      </c>
      <c r="I5" s="110" t="str">
        <f>"CT_STAtoWLAN!"&amp;CT_HELP!L5&amp;"7:"&amp;INDEX(CT_HELP!$B$1:$B$220,CT_HELP!L4)&amp;""&amp;SUM($D$3,6)</f>
        <v>CT_STAtoWLAN!I7:I13</v>
      </c>
      <c r="J5" s="110" t="str">
        <f>"CT_STAtoWLAN!"&amp;CT_HELP!M5&amp;"7:"&amp;INDEX(CT_HELP!$B$1:$B$220,CT_HELP!M4)&amp;""&amp;SUM($D$3,6)</f>
        <v>CT_STAtoWLAN!J7:J13</v>
      </c>
      <c r="K5" s="110" t="str">
        <f>"CT_STAtoWLAN!"&amp;CT_HELP!N5&amp;"7:"&amp;INDEX(CT_HELP!$B$1:$B$220,CT_HELP!N4)&amp;""&amp;SUM($D$3,6)</f>
        <v>CT_STAtoWLAN!K7:K13</v>
      </c>
      <c r="L5" s="110" t="str">
        <f>"CT_STAtoWLAN!"&amp;CT_HELP!O5&amp;"7:"&amp;INDEX(CT_HELP!$B$1:$B$220,CT_HELP!O4)&amp;""&amp;SUM($D$3,6)</f>
        <v>CT_STAtoWLAN!L7:L13</v>
      </c>
      <c r="M5" s="110" t="str">
        <f>"CT_STAtoWLAN!"&amp;CT_HELP!P5&amp;"7:"&amp;INDEX(CT_HELP!$B$1:$B$220,CT_HELP!P4)&amp;""&amp;SUM($D$3,6)</f>
        <v>CT_STAtoWLAN!M7:M13</v>
      </c>
      <c r="N5" s="110" t="str">
        <f>"CT_STAtoWLAN!"&amp;CT_HELP!Q5&amp;"7:"&amp;INDEX(CT_HELP!$B$1:$B$220,CT_HELP!Q4)&amp;""&amp;SUM($D$3,6)</f>
        <v>CT_STAtoWLAN!N7:N13</v>
      </c>
      <c r="O5" s="110" t="str">
        <f>"CT_STAtoWLAN!"&amp;CT_HELP!R5&amp;"7:"&amp;INDEX(CT_HELP!$B$1:$B$220,CT_HELP!R4)&amp;""&amp;SUM($D$3,6)</f>
        <v>CT_STAtoWLAN!O7:O13</v>
      </c>
      <c r="P5" s="110" t="str">
        <f>"CT_STAtoWLAN!"&amp;CT_HELP!S5&amp;"7:"&amp;INDEX(CT_HELP!$B$1:$B$220,CT_HELP!S4)&amp;""&amp;SUM($D$3,6)</f>
        <v>CT_STAtoWLAN!P7:P13</v>
      </c>
      <c r="Q5" s="110" t="str">
        <f>"CT_STAtoWLAN!"&amp;CT_HELP!T5&amp;"7:"&amp;INDEX(CT_HELP!$B$1:$B$220,CT_HELP!T4)&amp;""&amp;SUM($D$3,6)</f>
        <v>CT_STAtoWLAN!Q7:Q13</v>
      </c>
      <c r="R5" s="110" t="str">
        <f>"CT_STAtoWLAN!"&amp;CT_HELP!U5&amp;"7:"&amp;INDEX(CT_HELP!$B$1:$B$220,CT_HELP!U4)&amp;""&amp;SUM($D$3,6)</f>
        <v>CT_STAtoWLAN!R7:R13</v>
      </c>
      <c r="S5" s="110" t="str">
        <f>"CT_STAtoWLAN!"&amp;CT_HELP!V5&amp;"7:"&amp;INDEX(CT_HELP!$B$1:$B$220,CT_HELP!V4)&amp;""&amp;SUM($D$3,6)</f>
        <v>CT_STAtoWLAN!S7:S13</v>
      </c>
      <c r="T5" s="110" t="str">
        <f>"CT_STAtoWLAN!"&amp;CT_HELP!W5&amp;"7:"&amp;INDEX(CT_HELP!$B$1:$B$220,CT_HELP!W4)&amp;""&amp;SUM($D$3,6)</f>
        <v>CT_STAtoWLAN!T7:T13</v>
      </c>
      <c r="U5" s="110" t="str">
        <f>"CT_STAtoWLAN!"&amp;CT_HELP!X5&amp;"7:"&amp;INDEX(CT_HELP!$B$1:$B$220,CT_HELP!X4)&amp;""&amp;SUM($D$3,6)</f>
        <v>CT_STAtoWLAN!U7:U13</v>
      </c>
      <c r="V5" s="110" t="str">
        <f>"CT_STAtoWLAN!"&amp;CT_HELP!Y5&amp;"7:"&amp;INDEX(CT_HELP!$B$1:$B$220,CT_HELP!Y4)&amp;""&amp;SUM($D$3,6)</f>
        <v>CT_STAtoWLAN!V7:V13</v>
      </c>
      <c r="W5" s="110" t="str">
        <f>"CT_STAtoWLAN!"&amp;CT_HELP!Z5&amp;"7:"&amp;INDEX(CT_HELP!$B$1:$B$220,CT_HELP!Z4)&amp;""&amp;SUM($D$3,6)</f>
        <v>CT_STAtoWLAN!W7:W13</v>
      </c>
      <c r="X5" s="110" t="str">
        <f>"CT_STAtoWLAN!"&amp;CT_HELP!AA5&amp;"7:"&amp;INDEX(CT_HELP!$B$1:$B$220,CT_HELP!AA4)&amp;""&amp;SUM($D$3,6)</f>
        <v>CT_STAtoWLAN!X7:X13</v>
      </c>
      <c r="Y5" s="110" t="str">
        <f>"CT_STAtoWLAN!"&amp;CT_HELP!AB5&amp;"7:"&amp;INDEX(CT_HELP!$B$1:$B$220,CT_HELP!AB4)&amp;""&amp;SUM($D$3,6)</f>
        <v>CT_STAtoWLAN!Y7:Y13</v>
      </c>
      <c r="Z5" s="110" t="str">
        <f>"CT_STAtoWLAN!"&amp;CT_HELP!AC5&amp;"7:"&amp;INDEX(CT_HELP!$B$1:$B$220,CT_HELP!AC4)&amp;""&amp;SUM($D$3,6)</f>
        <v>CT_STAtoWLAN!Z7:Z13</v>
      </c>
    </row>
    <row r="6" spans="1:200" ht="10.5" x14ac:dyDescent="0.25">
      <c r="B6" s="210" t="s">
        <v>281</v>
      </c>
      <c r="C6" s="203" t="s">
        <v>107</v>
      </c>
      <c r="D6" s="200" t="s">
        <v>144</v>
      </c>
      <c r="E6" s="200" t="s">
        <v>101</v>
      </c>
      <c r="F6" s="200" t="s">
        <v>103</v>
      </c>
      <c r="G6" s="200" t="s">
        <v>104</v>
      </c>
      <c r="H6" s="200" t="s">
        <v>102</v>
      </c>
      <c r="I6" s="200" t="s">
        <v>106</v>
      </c>
      <c r="J6" s="200" t="s">
        <v>105</v>
      </c>
      <c r="K6" s="204" t="str">
        <f>LanguageTable!B7</f>
        <v>Standard module</v>
      </c>
      <c r="L6" s="201" t="s">
        <v>226</v>
      </c>
      <c r="M6" s="124" t="s">
        <v>408</v>
      </c>
      <c r="N6" s="124" t="s">
        <v>494</v>
      </c>
      <c r="O6" s="456" t="s">
        <v>496</v>
      </c>
      <c r="P6" s="201" t="s">
        <v>499</v>
      </c>
      <c r="Q6" s="201" t="s">
        <v>575</v>
      </c>
      <c r="R6" s="201" t="s">
        <v>576</v>
      </c>
      <c r="S6" s="201" t="s">
        <v>580</v>
      </c>
      <c r="T6" s="201" t="s">
        <v>608</v>
      </c>
      <c r="U6" s="201" t="s">
        <v>609</v>
      </c>
      <c r="V6" s="201" t="s">
        <v>610</v>
      </c>
      <c r="W6" s="201" t="s">
        <v>611</v>
      </c>
      <c r="X6" s="201" t="s">
        <v>665</v>
      </c>
      <c r="Y6" s="124" t="s">
        <v>684</v>
      </c>
      <c r="Z6" s="124" t="s">
        <v>686</v>
      </c>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3"/>
    </row>
    <row r="7" spans="1:200" x14ac:dyDescent="0.2">
      <c r="A7" s="110" t="str">
        <f>"CT_STAtoWLAN!C"&amp;CT_HELP!A7&amp;":"&amp;INDEX(CT_HELP!$B$1:$B$200,$D$2+2)&amp;""&amp;CT_HELP!A7</f>
        <v>CT_STAtoWLAN!C7:Z7</v>
      </c>
      <c r="B7" s="194" t="s">
        <v>24</v>
      </c>
      <c r="C7" s="197" t="b">
        <v>1</v>
      </c>
      <c r="D7" s="197" t="b">
        <v>1</v>
      </c>
      <c r="E7" s="197" t="b">
        <v>1</v>
      </c>
      <c r="F7" s="197" t="b">
        <v>1</v>
      </c>
      <c r="G7" s="197" t="b">
        <v>1</v>
      </c>
      <c r="H7" s="197" t="b">
        <v>1</v>
      </c>
      <c r="I7" s="197" t="b">
        <v>1</v>
      </c>
      <c r="J7" s="197" t="b">
        <v>1</v>
      </c>
      <c r="K7" s="197" t="b">
        <v>1</v>
      </c>
      <c r="L7" s="197" t="b">
        <v>1</v>
      </c>
      <c r="M7" s="197" t="b">
        <v>1</v>
      </c>
      <c r="N7" s="197" t="b">
        <v>1</v>
      </c>
      <c r="O7" s="197" t="b">
        <v>1</v>
      </c>
      <c r="P7" s="197" t="b">
        <v>1</v>
      </c>
      <c r="Q7" s="198" t="b">
        <v>0</v>
      </c>
      <c r="R7" s="197" t="b">
        <v>1</v>
      </c>
      <c r="S7" s="197" t="b">
        <v>1</v>
      </c>
      <c r="T7" s="197" t="b">
        <v>1</v>
      </c>
      <c r="U7" s="198" t="b">
        <v>0</v>
      </c>
      <c r="V7" s="198" t="b">
        <v>0</v>
      </c>
      <c r="W7" s="197" t="b">
        <v>1</v>
      </c>
      <c r="X7" s="197" t="b">
        <v>1</v>
      </c>
      <c r="Y7" s="197" t="b">
        <v>1</v>
      </c>
      <c r="Z7" s="198" t="b">
        <v>0</v>
      </c>
    </row>
    <row r="8" spans="1:200" x14ac:dyDescent="0.2">
      <c r="A8" s="110" t="str">
        <f>"CT_STAtoWLAN!C"&amp;CT_HELP!A8&amp;":"&amp;INDEX(CT_HELP!$B$1:$B$200,$D$2+2)&amp;""&amp;CT_HELP!A8</f>
        <v>CT_STAtoWLAN!C8:Z8</v>
      </c>
      <c r="B8" s="195" t="s">
        <v>26</v>
      </c>
      <c r="C8" s="197" t="b">
        <v>1</v>
      </c>
      <c r="D8" s="197" t="b">
        <v>1</v>
      </c>
      <c r="E8" s="197" t="b">
        <v>1</v>
      </c>
      <c r="F8" s="197" t="b">
        <v>1</v>
      </c>
      <c r="G8" s="197" t="b">
        <v>1</v>
      </c>
      <c r="H8" s="197" t="b">
        <v>1</v>
      </c>
      <c r="I8" s="198" t="b">
        <v>0</v>
      </c>
      <c r="J8" s="198" t="b">
        <v>0</v>
      </c>
      <c r="K8" s="197" t="b">
        <v>1</v>
      </c>
      <c r="L8" s="197" t="b">
        <v>1</v>
      </c>
      <c r="M8" s="197" t="b">
        <v>1</v>
      </c>
      <c r="N8" s="197" t="b">
        <v>1</v>
      </c>
      <c r="O8" s="197" t="b">
        <v>1</v>
      </c>
      <c r="P8" s="197" t="b">
        <v>1</v>
      </c>
      <c r="Q8" s="197" t="b">
        <v>1</v>
      </c>
      <c r="R8" s="197" t="b">
        <v>1</v>
      </c>
      <c r="S8" s="197" t="b">
        <v>1</v>
      </c>
      <c r="T8" s="197" t="b">
        <v>1</v>
      </c>
      <c r="U8" s="197" t="b">
        <v>1</v>
      </c>
      <c r="V8" s="197" t="b">
        <v>1</v>
      </c>
      <c r="W8" s="197" t="b">
        <v>1</v>
      </c>
      <c r="X8" s="197" t="b">
        <v>1</v>
      </c>
      <c r="Y8" s="198" t="b">
        <v>0</v>
      </c>
      <c r="Z8" s="197" t="b">
        <v>1</v>
      </c>
    </row>
    <row r="9" spans="1:200" x14ac:dyDescent="0.2">
      <c r="A9" s="110" t="str">
        <f>"CT_STAtoWLAN!C"&amp;CT_HELP!A9&amp;":"&amp;INDEX(CT_HELP!$B$1:$B$200,$D$2+2)&amp;""&amp;CT_HELP!A9</f>
        <v>CT_STAtoWLAN!C9:Z9</v>
      </c>
      <c r="B9" s="97" t="s">
        <v>114</v>
      </c>
      <c r="C9" s="197" t="b">
        <v>1</v>
      </c>
      <c r="D9" s="198" t="b">
        <v>0</v>
      </c>
      <c r="E9" s="198" t="b">
        <v>0</v>
      </c>
      <c r="F9" s="198" t="b">
        <v>0</v>
      </c>
      <c r="G9" s="198" t="b">
        <v>0</v>
      </c>
      <c r="H9" s="198" t="b">
        <v>0</v>
      </c>
      <c r="I9" s="198" t="b">
        <v>0</v>
      </c>
      <c r="J9" s="198" t="b">
        <v>0</v>
      </c>
      <c r="K9" s="198" t="b">
        <v>0</v>
      </c>
      <c r="L9" s="197" t="b">
        <v>1</v>
      </c>
      <c r="M9" s="197" t="b">
        <v>1</v>
      </c>
      <c r="N9" s="197" t="b">
        <v>1</v>
      </c>
      <c r="O9" s="197" t="b">
        <v>1</v>
      </c>
      <c r="P9" s="197" t="b">
        <v>1</v>
      </c>
      <c r="Q9" s="198" t="b">
        <v>0</v>
      </c>
      <c r="R9" s="197" t="b">
        <v>1</v>
      </c>
      <c r="S9" s="197" t="b">
        <v>1</v>
      </c>
      <c r="T9" s="197" t="b">
        <v>1</v>
      </c>
      <c r="U9" s="198" t="b">
        <v>0</v>
      </c>
      <c r="V9" s="198" t="b">
        <v>0</v>
      </c>
      <c r="W9" s="197" t="b">
        <v>1</v>
      </c>
      <c r="X9" s="197" t="b">
        <v>1</v>
      </c>
      <c r="Y9" s="197" t="b">
        <v>1</v>
      </c>
      <c r="Z9" s="198" t="b">
        <v>0</v>
      </c>
    </row>
    <row r="10" spans="1:200" x14ac:dyDescent="0.2">
      <c r="A10" s="110" t="str">
        <f>"CT_STAtoWLAN!C"&amp;CT_HELP!A10&amp;":"&amp;INDEX(CT_HELP!$B$1:$B$200,$D$2+2)&amp;""&amp;CT_HELP!A10</f>
        <v>CT_STAtoWLAN!C10:Z10</v>
      </c>
      <c r="B10" s="97" t="s">
        <v>115</v>
      </c>
      <c r="C10" s="197" t="b">
        <v>1</v>
      </c>
      <c r="D10" s="198" t="b">
        <v>0</v>
      </c>
      <c r="E10" s="198" t="b">
        <v>0</v>
      </c>
      <c r="F10" s="198" t="b">
        <v>0</v>
      </c>
      <c r="G10" s="198" t="b">
        <v>0</v>
      </c>
      <c r="H10" s="198" t="b">
        <v>0</v>
      </c>
      <c r="I10" s="198" t="b">
        <v>0</v>
      </c>
      <c r="J10" s="198" t="b">
        <v>0</v>
      </c>
      <c r="K10" s="198" t="b">
        <v>0</v>
      </c>
      <c r="L10" s="197" t="b">
        <v>1</v>
      </c>
      <c r="M10" s="197" t="b">
        <v>1</v>
      </c>
      <c r="N10" s="197" t="b">
        <v>1</v>
      </c>
      <c r="O10" s="197" t="b">
        <v>1</v>
      </c>
      <c r="P10" s="197" t="b">
        <v>1</v>
      </c>
      <c r="Q10" s="197" t="b">
        <v>1</v>
      </c>
      <c r="R10" s="197" t="b">
        <v>1</v>
      </c>
      <c r="S10" s="197" t="b">
        <v>1</v>
      </c>
      <c r="T10" s="197" t="b">
        <v>1</v>
      </c>
      <c r="U10" s="197" t="b">
        <v>1</v>
      </c>
      <c r="V10" s="197" t="b">
        <v>1</v>
      </c>
      <c r="W10" s="197" t="b">
        <v>1</v>
      </c>
      <c r="X10" s="197" t="b">
        <v>1</v>
      </c>
      <c r="Y10" s="198" t="b">
        <v>0</v>
      </c>
      <c r="Z10" s="197" t="b">
        <v>1</v>
      </c>
    </row>
    <row r="11" spans="1:200" x14ac:dyDescent="0.2">
      <c r="A11" s="110" t="str">
        <f>"CT_STAtoWLAN!C"&amp;CT_HELP!A11&amp;":"&amp;INDEX(CT_HELP!$B$1:$B$200,$D$2+2)&amp;""&amp;CT_HELP!A11</f>
        <v>CT_STAtoWLAN!C11:Z11</v>
      </c>
      <c r="B11" s="97" t="s">
        <v>219</v>
      </c>
      <c r="C11" s="197" t="b">
        <v>1</v>
      </c>
      <c r="D11" s="197" t="b">
        <v>1</v>
      </c>
      <c r="E11" s="197" t="b">
        <v>1</v>
      </c>
      <c r="F11" s="197" t="b">
        <v>1</v>
      </c>
      <c r="G11" s="197" t="b">
        <v>1</v>
      </c>
      <c r="H11" s="197" t="b">
        <v>1</v>
      </c>
      <c r="I11" s="198" t="b">
        <v>0</v>
      </c>
      <c r="J11" s="198" t="b">
        <v>0</v>
      </c>
      <c r="K11" s="197" t="b">
        <v>1</v>
      </c>
      <c r="L11" s="198" t="b">
        <v>0</v>
      </c>
      <c r="M11" s="197" t="b">
        <v>1</v>
      </c>
      <c r="N11" s="197" t="b">
        <v>1</v>
      </c>
      <c r="O11" s="198" t="b">
        <v>0</v>
      </c>
      <c r="P11" s="198" t="b">
        <v>0</v>
      </c>
      <c r="Q11" s="198" t="b">
        <v>0</v>
      </c>
      <c r="R11" s="198" t="b">
        <v>0</v>
      </c>
      <c r="S11" s="198" t="b">
        <v>0</v>
      </c>
      <c r="T11" s="198" t="b">
        <v>0</v>
      </c>
      <c r="U11" s="198" t="b">
        <v>0</v>
      </c>
      <c r="V11" s="198" t="b">
        <v>0</v>
      </c>
      <c r="W11" s="198" t="b">
        <v>0</v>
      </c>
      <c r="X11" s="198" t="b">
        <v>0</v>
      </c>
      <c r="Y11" s="198" t="b">
        <v>0</v>
      </c>
      <c r="Z11" s="198" t="b">
        <v>0</v>
      </c>
    </row>
    <row r="12" spans="1:200" x14ac:dyDescent="0.2">
      <c r="A12" s="110" t="str">
        <f>"CT_STAtoWLAN!C"&amp;CT_HELP!A12&amp;":"&amp;INDEX(CT_HELP!$B$1:$B$200,$D$2+2)&amp;""&amp;CT_HELP!A12</f>
        <v>CT_STAtoWLAN!C12:Z12</v>
      </c>
      <c r="B12" s="97" t="s">
        <v>220</v>
      </c>
      <c r="C12" s="197" t="b">
        <v>1</v>
      </c>
      <c r="D12" s="198" t="b">
        <v>0</v>
      </c>
      <c r="E12" s="198" t="b">
        <v>0</v>
      </c>
      <c r="F12" s="198" t="b">
        <v>0</v>
      </c>
      <c r="G12" s="198" t="b">
        <v>0</v>
      </c>
      <c r="H12" s="198" t="b">
        <v>0</v>
      </c>
      <c r="I12" s="198" t="b">
        <v>0</v>
      </c>
      <c r="J12" s="198" t="b">
        <v>0</v>
      </c>
      <c r="K12" s="198" t="b">
        <v>0</v>
      </c>
      <c r="L12" s="198" t="b">
        <v>0</v>
      </c>
      <c r="M12" s="197" t="b">
        <v>1</v>
      </c>
      <c r="N12" s="197" t="b">
        <v>1</v>
      </c>
      <c r="O12" s="198" t="b">
        <v>0</v>
      </c>
      <c r="P12" s="198" t="b">
        <v>0</v>
      </c>
      <c r="Q12" s="198" t="b">
        <v>0</v>
      </c>
      <c r="R12" s="198" t="b">
        <v>0</v>
      </c>
      <c r="S12" s="198" t="b">
        <v>0</v>
      </c>
      <c r="T12" s="198" t="b">
        <v>0</v>
      </c>
      <c r="U12" s="198" t="b">
        <v>0</v>
      </c>
      <c r="V12" s="198" t="b">
        <v>0</v>
      </c>
      <c r="W12" s="198" t="b">
        <v>0</v>
      </c>
      <c r="X12" s="198" t="b">
        <v>0</v>
      </c>
      <c r="Y12" s="198" t="b">
        <v>0</v>
      </c>
      <c r="Z12" s="198" t="b">
        <v>0</v>
      </c>
    </row>
    <row r="13" spans="1:200" x14ac:dyDescent="0.2">
      <c r="A13" s="110" t="str">
        <f>"CT_STAtoWLAN!C"&amp;CT_HELP!A13&amp;":"&amp;INDEX(CT_HELP!$B$1:$B$200,$D$2+2)&amp;""&amp;CT_HELP!A13</f>
        <v>CT_STAtoWLAN!C13:Z13</v>
      </c>
      <c r="B13" s="415" t="s">
        <v>504</v>
      </c>
      <c r="C13" s="198" t="b">
        <v>0</v>
      </c>
      <c r="D13" s="198" t="b">
        <v>0</v>
      </c>
      <c r="E13" s="198" t="b">
        <v>0</v>
      </c>
      <c r="F13" s="198" t="b">
        <v>0</v>
      </c>
      <c r="G13" s="198" t="b">
        <v>0</v>
      </c>
      <c r="H13" s="198" t="b">
        <v>0</v>
      </c>
      <c r="I13" s="198" t="b">
        <v>0</v>
      </c>
      <c r="J13" s="198" t="b">
        <v>0</v>
      </c>
      <c r="K13" s="198" t="b">
        <v>0</v>
      </c>
      <c r="L13" s="198" t="b">
        <v>0</v>
      </c>
      <c r="M13" s="198" t="b">
        <v>0</v>
      </c>
      <c r="N13" s="198" t="b">
        <v>0</v>
      </c>
      <c r="O13" s="198" t="b">
        <v>0</v>
      </c>
      <c r="P13" s="198" t="b">
        <v>0</v>
      </c>
      <c r="Q13" s="197" t="b">
        <v>1</v>
      </c>
      <c r="R13" s="197" t="b">
        <v>1</v>
      </c>
      <c r="S13" s="198" t="b">
        <v>0</v>
      </c>
      <c r="T13" s="197" t="b">
        <v>1</v>
      </c>
      <c r="U13" s="197" t="b">
        <v>1</v>
      </c>
      <c r="V13" s="197" t="b">
        <v>1</v>
      </c>
      <c r="W13" s="198" t="b">
        <v>0</v>
      </c>
      <c r="X13" s="197" t="b">
        <v>1</v>
      </c>
      <c r="Y13" s="198" t="b">
        <v>0</v>
      </c>
      <c r="Z13" s="197" t="b">
        <v>1</v>
      </c>
    </row>
    <row r="14" spans="1:200" x14ac:dyDescent="0.2">
      <c r="B14" s="106"/>
    </row>
    <row r="15" spans="1:200" x14ac:dyDescent="0.2">
      <c r="B15" s="106"/>
    </row>
    <row r="16" spans="1:200" x14ac:dyDescent="0.2">
      <c r="B16" s="106"/>
    </row>
    <row r="17" spans="2:2" x14ac:dyDescent="0.2">
      <c r="B17" s="106"/>
    </row>
    <row r="18" spans="2:2" x14ac:dyDescent="0.2">
      <c r="B18" s="106"/>
    </row>
    <row r="19" spans="2:2" x14ac:dyDescent="0.2">
      <c r="B19" s="106"/>
    </row>
    <row r="20" spans="2:2" x14ac:dyDescent="0.2">
      <c r="B20" s="106"/>
    </row>
    <row r="21" spans="2:2" x14ac:dyDescent="0.2">
      <c r="B21" s="106"/>
    </row>
    <row r="22" spans="2:2" x14ac:dyDescent="0.2">
      <c r="B22" s="106"/>
    </row>
    <row r="23" spans="2:2" x14ac:dyDescent="0.2">
      <c r="B23" s="106"/>
    </row>
    <row r="24" spans="2:2" x14ac:dyDescent="0.2">
      <c r="B24" s="106"/>
    </row>
    <row r="25" spans="2:2" x14ac:dyDescent="0.2">
      <c r="B25" s="106"/>
    </row>
    <row r="26" spans="2:2" x14ac:dyDescent="0.2">
      <c r="B26" s="106"/>
    </row>
    <row r="27" spans="2:2" x14ac:dyDescent="0.2">
      <c r="B27" s="106"/>
    </row>
    <row r="28" spans="2:2" x14ac:dyDescent="0.2">
      <c r="B28" s="106"/>
    </row>
    <row r="29" spans="2:2" x14ac:dyDescent="0.2">
      <c r="B29" s="106"/>
    </row>
    <row r="30" spans="2:2" x14ac:dyDescent="0.2">
      <c r="B30" s="106"/>
    </row>
    <row r="31" spans="2:2" x14ac:dyDescent="0.2">
      <c r="B31" s="106"/>
    </row>
    <row r="32" spans="2:2" x14ac:dyDescent="0.2">
      <c r="B32" s="106"/>
    </row>
    <row r="33" spans="2:2" x14ac:dyDescent="0.2">
      <c r="B33" s="106"/>
    </row>
    <row r="34" spans="2:2" x14ac:dyDescent="0.2">
      <c r="B34" s="106"/>
    </row>
    <row r="35" spans="2:2" x14ac:dyDescent="0.2">
      <c r="B35" s="106"/>
    </row>
    <row r="36" spans="2:2" x14ac:dyDescent="0.2">
      <c r="B36" s="106"/>
    </row>
    <row r="37" spans="2:2" x14ac:dyDescent="0.2">
      <c r="B37" s="106"/>
    </row>
    <row r="38" spans="2:2" x14ac:dyDescent="0.2">
      <c r="B38" s="106"/>
    </row>
    <row r="39" spans="2:2" x14ac:dyDescent="0.2">
      <c r="B39" s="106"/>
    </row>
    <row r="40" spans="2:2" x14ac:dyDescent="0.2">
      <c r="B40" s="106"/>
    </row>
    <row r="41" spans="2:2" x14ac:dyDescent="0.2">
      <c r="B41" s="106"/>
    </row>
    <row r="42" spans="2:2" x14ac:dyDescent="0.2">
      <c r="B42" s="106"/>
    </row>
    <row r="43" spans="2:2" x14ac:dyDescent="0.2">
      <c r="B43" s="106"/>
    </row>
    <row r="44" spans="2:2" x14ac:dyDescent="0.2">
      <c r="B44" s="106"/>
    </row>
    <row r="45" spans="2:2" x14ac:dyDescent="0.2">
      <c r="B45" s="106"/>
    </row>
    <row r="46" spans="2:2" x14ac:dyDescent="0.2">
      <c r="B46" s="106"/>
    </row>
    <row r="47" spans="2:2" x14ac:dyDescent="0.2">
      <c r="B47" s="106"/>
    </row>
    <row r="48" spans="2:2" x14ac:dyDescent="0.2">
      <c r="B48" s="106"/>
    </row>
    <row r="49" spans="2:2" x14ac:dyDescent="0.2">
      <c r="B49" s="106"/>
    </row>
    <row r="50" spans="2:2" x14ac:dyDescent="0.2">
      <c r="B50" s="106"/>
    </row>
    <row r="51" spans="2:2" x14ac:dyDescent="0.2">
      <c r="B51" s="106"/>
    </row>
    <row r="52" spans="2:2" x14ac:dyDescent="0.2">
      <c r="B52" s="106"/>
    </row>
    <row r="53" spans="2:2" x14ac:dyDescent="0.2">
      <c r="B53" s="106"/>
    </row>
    <row r="54" spans="2:2" x14ac:dyDescent="0.2">
      <c r="B54" s="106"/>
    </row>
    <row r="55" spans="2:2" x14ac:dyDescent="0.2">
      <c r="B55" s="106"/>
    </row>
    <row r="56" spans="2:2" x14ac:dyDescent="0.2">
      <c r="B56" s="106"/>
    </row>
    <row r="57" spans="2:2" x14ac:dyDescent="0.2">
      <c r="B57" s="106"/>
    </row>
    <row r="58" spans="2:2" x14ac:dyDescent="0.2">
      <c r="B58" s="106"/>
    </row>
    <row r="59" spans="2:2" x14ac:dyDescent="0.2">
      <c r="B59" s="106"/>
    </row>
    <row r="60" spans="2:2" x14ac:dyDescent="0.2">
      <c r="B60" s="106"/>
    </row>
    <row r="61" spans="2:2" x14ac:dyDescent="0.2">
      <c r="B61" s="106"/>
    </row>
    <row r="62" spans="2:2" x14ac:dyDescent="0.2">
      <c r="B62" s="106"/>
    </row>
    <row r="63" spans="2:2" x14ac:dyDescent="0.2">
      <c r="B63" s="106"/>
    </row>
    <row r="64" spans="2:2" x14ac:dyDescent="0.2">
      <c r="B64" s="106"/>
    </row>
    <row r="65" spans="2:2" x14ac:dyDescent="0.2">
      <c r="B65" s="106"/>
    </row>
    <row r="66" spans="2:2" x14ac:dyDescent="0.2">
      <c r="B66" s="106"/>
    </row>
    <row r="67" spans="2:2" x14ac:dyDescent="0.2">
      <c r="B67" s="106"/>
    </row>
    <row r="68" spans="2:2" x14ac:dyDescent="0.2">
      <c r="B68" s="106"/>
    </row>
    <row r="69" spans="2:2" x14ac:dyDescent="0.2">
      <c r="B69" s="106"/>
    </row>
    <row r="70" spans="2:2" x14ac:dyDescent="0.2">
      <c r="B70" s="106"/>
    </row>
    <row r="71" spans="2:2" x14ac:dyDescent="0.2">
      <c r="B71" s="106"/>
    </row>
    <row r="72" spans="2:2" x14ac:dyDescent="0.2">
      <c r="B72" s="106"/>
    </row>
    <row r="73" spans="2:2" x14ac:dyDescent="0.2">
      <c r="B73" s="106"/>
    </row>
    <row r="74" spans="2:2" x14ac:dyDescent="0.2">
      <c r="B74" s="106"/>
    </row>
    <row r="75" spans="2:2" x14ac:dyDescent="0.2">
      <c r="B75" s="106"/>
    </row>
    <row r="76" spans="2:2" x14ac:dyDescent="0.2">
      <c r="B76" s="106"/>
    </row>
    <row r="77" spans="2:2" x14ac:dyDescent="0.2">
      <c r="B77" s="106"/>
    </row>
    <row r="78" spans="2:2" x14ac:dyDescent="0.2">
      <c r="B78" s="106"/>
    </row>
    <row r="79" spans="2:2" x14ac:dyDescent="0.2">
      <c r="B79" s="106"/>
    </row>
    <row r="80" spans="2:2" x14ac:dyDescent="0.2">
      <c r="B80" s="106"/>
    </row>
    <row r="81" spans="2:2" x14ac:dyDescent="0.2">
      <c r="B81" s="106"/>
    </row>
    <row r="82" spans="2:2" x14ac:dyDescent="0.2">
      <c r="B82" s="106"/>
    </row>
    <row r="83" spans="2:2" x14ac:dyDescent="0.2">
      <c r="B83" s="106"/>
    </row>
    <row r="84" spans="2:2" x14ac:dyDescent="0.2">
      <c r="B84" s="106"/>
    </row>
    <row r="85" spans="2:2" x14ac:dyDescent="0.2">
      <c r="B85" s="106"/>
    </row>
    <row r="86" spans="2:2" x14ac:dyDescent="0.2">
      <c r="B86" s="106"/>
    </row>
    <row r="87" spans="2:2" x14ac:dyDescent="0.2">
      <c r="B87" s="106"/>
    </row>
    <row r="88" spans="2:2" x14ac:dyDescent="0.2">
      <c r="B88" s="106"/>
    </row>
    <row r="89" spans="2:2" x14ac:dyDescent="0.2">
      <c r="B89" s="106"/>
    </row>
    <row r="90" spans="2:2" x14ac:dyDescent="0.2">
      <c r="B90" s="106"/>
    </row>
    <row r="91" spans="2:2" x14ac:dyDescent="0.2">
      <c r="B91" s="106"/>
    </row>
    <row r="92" spans="2:2" x14ac:dyDescent="0.2">
      <c r="B92" s="106"/>
    </row>
    <row r="93" spans="2:2" x14ac:dyDescent="0.2">
      <c r="B93" s="106"/>
    </row>
    <row r="94" spans="2:2" x14ac:dyDescent="0.2">
      <c r="B94" s="106"/>
    </row>
    <row r="95" spans="2:2" x14ac:dyDescent="0.2">
      <c r="B95" s="106"/>
    </row>
    <row r="96" spans="2:2" x14ac:dyDescent="0.2">
      <c r="B96" s="106"/>
    </row>
    <row r="97" spans="2:2" x14ac:dyDescent="0.2">
      <c r="B97" s="106"/>
    </row>
    <row r="98" spans="2:2" x14ac:dyDescent="0.2">
      <c r="B98" s="106"/>
    </row>
    <row r="99" spans="2:2" x14ac:dyDescent="0.2">
      <c r="B99" s="106"/>
    </row>
    <row r="100" spans="2:2" x14ac:dyDescent="0.2">
      <c r="B100" s="106"/>
    </row>
    <row r="101" spans="2:2" x14ac:dyDescent="0.2">
      <c r="B101" s="106"/>
    </row>
    <row r="102" spans="2:2" x14ac:dyDescent="0.2">
      <c r="B102" s="106"/>
    </row>
    <row r="103" spans="2:2" x14ac:dyDescent="0.2">
      <c r="B103" s="106"/>
    </row>
    <row r="104" spans="2:2" x14ac:dyDescent="0.2">
      <c r="B104" s="106"/>
    </row>
    <row r="105" spans="2:2" x14ac:dyDescent="0.2">
      <c r="B105" s="106"/>
    </row>
    <row r="106" spans="2:2" x14ac:dyDescent="0.2">
      <c r="B106" s="106"/>
    </row>
    <row r="107" spans="2:2" x14ac:dyDescent="0.2">
      <c r="B107" s="106"/>
    </row>
    <row r="108" spans="2:2" x14ac:dyDescent="0.2">
      <c r="B108" s="106"/>
    </row>
    <row r="109" spans="2:2" x14ac:dyDescent="0.2">
      <c r="B109" s="106"/>
    </row>
    <row r="110" spans="2:2" x14ac:dyDescent="0.2">
      <c r="B110" s="106"/>
    </row>
    <row r="111" spans="2:2" x14ac:dyDescent="0.2">
      <c r="B111" s="106"/>
    </row>
    <row r="112" spans="2:2" x14ac:dyDescent="0.2">
      <c r="B112" s="106"/>
    </row>
    <row r="113" spans="2:2" x14ac:dyDescent="0.2">
      <c r="B113" s="106"/>
    </row>
    <row r="114" spans="2:2" x14ac:dyDescent="0.2">
      <c r="B114" s="106"/>
    </row>
    <row r="115" spans="2:2" x14ac:dyDescent="0.2">
      <c r="B115" s="106"/>
    </row>
    <row r="116" spans="2:2" x14ac:dyDescent="0.2">
      <c r="B116" s="106"/>
    </row>
    <row r="117" spans="2:2" x14ac:dyDescent="0.2">
      <c r="B117" s="106"/>
    </row>
    <row r="118" spans="2:2" x14ac:dyDescent="0.2">
      <c r="B118" s="106"/>
    </row>
    <row r="119" spans="2:2" x14ac:dyDescent="0.2">
      <c r="B119" s="106"/>
    </row>
    <row r="120" spans="2:2" x14ac:dyDescent="0.2">
      <c r="B120" s="106"/>
    </row>
    <row r="121" spans="2:2" x14ac:dyDescent="0.2">
      <c r="B121" s="106"/>
    </row>
    <row r="122" spans="2:2" x14ac:dyDescent="0.2">
      <c r="B122" s="106"/>
    </row>
    <row r="123" spans="2:2" x14ac:dyDescent="0.2">
      <c r="B123" s="106"/>
    </row>
    <row r="124" spans="2:2" x14ac:dyDescent="0.2">
      <c r="B124" s="106"/>
    </row>
    <row r="125" spans="2:2" x14ac:dyDescent="0.2">
      <c r="B125" s="106"/>
    </row>
    <row r="126" spans="2:2" x14ac:dyDescent="0.2">
      <c r="B126" s="106"/>
    </row>
    <row r="127" spans="2:2" x14ac:dyDescent="0.2">
      <c r="B127" s="106"/>
    </row>
    <row r="128" spans="2:2" x14ac:dyDescent="0.2">
      <c r="B128" s="106"/>
    </row>
    <row r="129" spans="2:2" x14ac:dyDescent="0.2">
      <c r="B129" s="106"/>
    </row>
    <row r="130" spans="2:2" x14ac:dyDescent="0.2">
      <c r="B130" s="106"/>
    </row>
    <row r="131" spans="2:2" x14ac:dyDescent="0.2">
      <c r="B131" s="106"/>
    </row>
    <row r="132" spans="2:2" x14ac:dyDescent="0.2">
      <c r="B132" s="106"/>
    </row>
    <row r="133" spans="2:2" x14ac:dyDescent="0.2">
      <c r="B133" s="106"/>
    </row>
    <row r="134" spans="2:2" x14ac:dyDescent="0.2">
      <c r="B134" s="106"/>
    </row>
    <row r="135" spans="2:2" x14ac:dyDescent="0.2">
      <c r="B135" s="106"/>
    </row>
    <row r="136" spans="2:2" x14ac:dyDescent="0.2">
      <c r="B136" s="106"/>
    </row>
    <row r="137" spans="2:2" x14ac:dyDescent="0.2">
      <c r="B137" s="106"/>
    </row>
    <row r="138" spans="2:2" x14ac:dyDescent="0.2">
      <c r="B138" s="106"/>
    </row>
    <row r="139" spans="2:2" x14ac:dyDescent="0.2">
      <c r="B139" s="106"/>
    </row>
    <row r="140" spans="2:2" x14ac:dyDescent="0.2">
      <c r="B140" s="106"/>
    </row>
    <row r="141" spans="2:2" x14ac:dyDescent="0.2">
      <c r="B141" s="106"/>
    </row>
    <row r="142" spans="2:2" x14ac:dyDescent="0.2">
      <c r="B142" s="106"/>
    </row>
    <row r="143" spans="2:2" x14ac:dyDescent="0.2">
      <c r="B143" s="106"/>
    </row>
    <row r="144" spans="2:2" x14ac:dyDescent="0.2">
      <c r="B144" s="106"/>
    </row>
    <row r="145" spans="2:2" x14ac:dyDescent="0.2">
      <c r="B145" s="106"/>
    </row>
    <row r="146" spans="2:2" x14ac:dyDescent="0.2">
      <c r="B146" s="106"/>
    </row>
    <row r="147" spans="2:2" x14ac:dyDescent="0.2">
      <c r="B147" s="106"/>
    </row>
    <row r="148" spans="2:2" x14ac:dyDescent="0.2">
      <c r="B148" s="106"/>
    </row>
    <row r="149" spans="2:2" x14ac:dyDescent="0.2">
      <c r="B149" s="106"/>
    </row>
    <row r="150" spans="2:2" x14ac:dyDescent="0.2">
      <c r="B150" s="106"/>
    </row>
    <row r="151" spans="2:2" x14ac:dyDescent="0.2">
      <c r="B151" s="106"/>
    </row>
    <row r="152" spans="2:2" x14ac:dyDescent="0.2">
      <c r="B152" s="106"/>
    </row>
    <row r="153" spans="2:2" x14ac:dyDescent="0.2">
      <c r="B153" s="106"/>
    </row>
    <row r="154" spans="2:2" x14ac:dyDescent="0.2">
      <c r="B154" s="106"/>
    </row>
    <row r="155" spans="2:2" x14ac:dyDescent="0.2">
      <c r="B155" s="106"/>
    </row>
    <row r="156" spans="2:2" x14ac:dyDescent="0.2">
      <c r="B156" s="106"/>
    </row>
    <row r="157" spans="2:2" x14ac:dyDescent="0.2">
      <c r="B157" s="106"/>
    </row>
    <row r="158" spans="2:2" x14ac:dyDescent="0.2">
      <c r="B158" s="106"/>
    </row>
    <row r="159" spans="2:2" x14ac:dyDescent="0.2">
      <c r="B159" s="106"/>
    </row>
    <row r="160" spans="2:2" x14ac:dyDescent="0.2">
      <c r="B160" s="106"/>
    </row>
    <row r="161" spans="2:2" x14ac:dyDescent="0.2">
      <c r="B161" s="106"/>
    </row>
    <row r="162" spans="2:2" x14ac:dyDescent="0.2">
      <c r="B162" s="106"/>
    </row>
    <row r="163" spans="2:2" x14ac:dyDescent="0.2">
      <c r="B163" s="106"/>
    </row>
    <row r="164" spans="2:2" x14ac:dyDescent="0.2">
      <c r="B164" s="106"/>
    </row>
    <row r="165" spans="2:2" x14ac:dyDescent="0.2">
      <c r="B165" s="106"/>
    </row>
    <row r="166" spans="2:2" x14ac:dyDescent="0.2">
      <c r="B166" s="106"/>
    </row>
    <row r="167" spans="2:2" x14ac:dyDescent="0.2">
      <c r="B167" s="106"/>
    </row>
    <row r="168" spans="2:2" x14ac:dyDescent="0.2">
      <c r="B168" s="106"/>
    </row>
    <row r="169" spans="2:2" x14ac:dyDescent="0.2">
      <c r="B169" s="106"/>
    </row>
    <row r="170" spans="2:2" x14ac:dyDescent="0.2">
      <c r="B170" s="106"/>
    </row>
    <row r="171" spans="2:2" x14ac:dyDescent="0.2">
      <c r="B171" s="106"/>
    </row>
    <row r="172" spans="2:2" x14ac:dyDescent="0.2">
      <c r="B172" s="106"/>
    </row>
    <row r="173" spans="2:2" x14ac:dyDescent="0.2">
      <c r="B173" s="106"/>
    </row>
    <row r="174" spans="2:2" x14ac:dyDescent="0.2">
      <c r="B174" s="106"/>
    </row>
    <row r="175" spans="2:2" x14ac:dyDescent="0.2">
      <c r="B175" s="106"/>
    </row>
    <row r="176" spans="2:2" x14ac:dyDescent="0.2">
      <c r="B176" s="106"/>
    </row>
    <row r="177" spans="2:2" x14ac:dyDescent="0.2">
      <c r="B177" s="106"/>
    </row>
    <row r="178" spans="2:2" x14ac:dyDescent="0.2">
      <c r="B178" s="106"/>
    </row>
    <row r="179" spans="2:2" x14ac:dyDescent="0.2">
      <c r="B179" s="106"/>
    </row>
    <row r="180" spans="2:2" x14ac:dyDescent="0.2">
      <c r="B180" s="106"/>
    </row>
    <row r="181" spans="2:2" x14ac:dyDescent="0.2">
      <c r="B181" s="106"/>
    </row>
    <row r="182" spans="2:2" x14ac:dyDescent="0.2">
      <c r="B182" s="106"/>
    </row>
    <row r="183" spans="2:2" x14ac:dyDescent="0.2">
      <c r="B183" s="106"/>
    </row>
    <row r="184" spans="2:2" x14ac:dyDescent="0.2">
      <c r="B184" s="106"/>
    </row>
    <row r="185" spans="2:2" x14ac:dyDescent="0.2">
      <c r="B185" s="106"/>
    </row>
    <row r="186" spans="2:2" x14ac:dyDescent="0.2">
      <c r="B186" s="106"/>
    </row>
    <row r="187" spans="2:2" x14ac:dyDescent="0.2">
      <c r="B187" s="106"/>
    </row>
    <row r="188" spans="2:2" x14ac:dyDescent="0.2">
      <c r="B188" s="106"/>
    </row>
    <row r="189" spans="2:2" x14ac:dyDescent="0.2">
      <c r="B189" s="106"/>
    </row>
    <row r="190" spans="2:2" x14ac:dyDescent="0.2">
      <c r="B190" s="106"/>
    </row>
    <row r="191" spans="2:2" x14ac:dyDescent="0.2">
      <c r="B191" s="106"/>
    </row>
    <row r="192" spans="2:2" x14ac:dyDescent="0.2">
      <c r="B192" s="106"/>
    </row>
    <row r="193" spans="2:2" x14ac:dyDescent="0.2">
      <c r="B193" s="106"/>
    </row>
    <row r="194" spans="2:2" x14ac:dyDescent="0.2">
      <c r="B194" s="106"/>
    </row>
    <row r="195" spans="2:2" x14ac:dyDescent="0.2">
      <c r="B195" s="106"/>
    </row>
    <row r="196" spans="2:2" x14ac:dyDescent="0.2">
      <c r="B196" s="106"/>
    </row>
    <row r="197" spans="2:2" x14ac:dyDescent="0.2">
      <c r="B197" s="106"/>
    </row>
    <row r="198" spans="2:2" x14ac:dyDescent="0.2">
      <c r="B198" s="106"/>
    </row>
    <row r="199" spans="2:2" x14ac:dyDescent="0.2">
      <c r="B199" s="106"/>
    </row>
    <row r="200" spans="2:2" x14ac:dyDescent="0.2">
      <c r="B200" s="106"/>
    </row>
    <row r="201" spans="2:2" x14ac:dyDescent="0.2">
      <c r="B201" s="106"/>
    </row>
    <row r="202" spans="2:2" x14ac:dyDescent="0.2">
      <c r="B202" s="106"/>
    </row>
    <row r="203" spans="2:2" x14ac:dyDescent="0.2">
      <c r="B203" s="106"/>
    </row>
    <row r="204" spans="2:2" x14ac:dyDescent="0.2">
      <c r="B204" s="106"/>
    </row>
    <row r="205" spans="2:2" x14ac:dyDescent="0.2">
      <c r="B205" s="106"/>
    </row>
    <row r="206" spans="2:2" x14ac:dyDescent="0.2">
      <c r="B206" s="60"/>
    </row>
  </sheetData>
  <phoneticPr fontId="2" type="noConversion"/>
  <pageMargins left="0.78740157480314965" right="0.78740157480314965" top="0.98425196850393704" bottom="0.98425196850393704" header="0.51181102362204722" footer="0.51181102362204722"/>
  <pageSetup paperSize="9" scale="20" fitToWidth="9"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GR16"/>
  <sheetViews>
    <sheetView workbookViewId="0">
      <selection activeCell="D2" sqref="D2"/>
    </sheetView>
  </sheetViews>
  <sheetFormatPr baseColWidth="10" defaultColWidth="11.453125" defaultRowHeight="10" x14ac:dyDescent="0.2"/>
  <cols>
    <col min="1" max="1" width="15.26953125" style="1" bestFit="1" customWidth="1"/>
    <col min="2" max="2" width="22.81640625" style="1" bestFit="1" customWidth="1"/>
    <col min="3" max="3" width="28.7265625" style="1" bestFit="1" customWidth="1"/>
    <col min="4" max="5" width="19.26953125" style="1" bestFit="1" customWidth="1"/>
    <col min="6" max="6" width="14.81640625" style="1" bestFit="1" customWidth="1"/>
    <col min="7" max="7" width="15.453125" style="1" bestFit="1" customWidth="1"/>
    <col min="8" max="8" width="15.1796875" style="1" bestFit="1" customWidth="1"/>
    <col min="9" max="9" width="13.7265625" style="1" bestFit="1" customWidth="1"/>
    <col min="10" max="10" width="14.54296875" style="1" bestFit="1" customWidth="1"/>
    <col min="11" max="11" width="15.1796875" style="1" bestFit="1" customWidth="1"/>
    <col min="12" max="12" width="14.81640625" style="1" bestFit="1" customWidth="1"/>
    <col min="13" max="13" width="15.453125" style="1" bestFit="1" customWidth="1"/>
    <col min="14" max="14" width="15.1796875" style="1" bestFit="1" customWidth="1"/>
    <col min="15" max="15" width="15.453125" style="1" bestFit="1" customWidth="1"/>
    <col min="16" max="16" width="14.81640625" style="1" bestFit="1" customWidth="1"/>
    <col min="17" max="17" width="15.453125" style="1" bestFit="1" customWidth="1"/>
    <col min="18" max="18" width="21.26953125" style="1" bestFit="1" customWidth="1"/>
    <col min="19" max="19" width="18.54296875" style="1" bestFit="1" customWidth="1"/>
    <col min="20" max="20" width="13.1796875" style="1" bestFit="1" customWidth="1"/>
    <col min="21" max="21" width="13.453125" style="1" bestFit="1" customWidth="1"/>
    <col min="22" max="16384" width="11.453125" style="1"/>
  </cols>
  <sheetData>
    <row r="2" spans="1:200" x14ac:dyDescent="0.2">
      <c r="C2" s="5" t="s">
        <v>320</v>
      </c>
      <c r="D2" s="63">
        <f>COUNTA(C6:GR6)</f>
        <v>18</v>
      </c>
      <c r="F2" s="5" t="s">
        <v>322</v>
      </c>
      <c r="G2" s="240" t="str">
        <f>"CT_SAtoC1!B7:B"&amp;D3+6</f>
        <v>CT_SAtoC1!B7:B9</v>
      </c>
    </row>
    <row r="3" spans="1:200" x14ac:dyDescent="0.2">
      <c r="C3" s="7" t="s">
        <v>321</v>
      </c>
      <c r="D3" s="69">
        <f>COUNTA(B7:B16)</f>
        <v>3</v>
      </c>
      <c r="F3" s="7" t="s">
        <v>311</v>
      </c>
      <c r="G3" s="69" t="str">
        <f>"CT_SAtoC1!C6:"&amp;INDEX(CT_HELP!$B$1:$B$200,$D$2+2)&amp;"6"</f>
        <v>CT_SAtoC1!C6:T6</v>
      </c>
    </row>
    <row r="4" spans="1:200" x14ac:dyDescent="0.2">
      <c r="B4" s="110" t="str">
        <f>"CT_SAtoC1!C5:"&amp;INDEX(CT_HELP!$B$1:$B$200,$D$2+2)&amp;"5"</f>
        <v>CT_SAtoC1!C5:T5</v>
      </c>
    </row>
    <row r="5" spans="1:200" x14ac:dyDescent="0.2">
      <c r="A5" s="110" t="str">
        <f>"CT_SAtoC1!A7:A"&amp;D3+6</f>
        <v>CT_SAtoC1!A7:A9</v>
      </c>
      <c r="C5" s="110" t="str">
        <f>"CT_SAtoC1!"&amp;CT_HELP!F5&amp;"7:"&amp;INDEX(CT_HELP!$B$1:$B$220,CT_HELP!F4)&amp;""&amp;SUM($D$3,6)</f>
        <v>CT_SAtoC1!C7:C9</v>
      </c>
      <c r="D5" s="110" t="str">
        <f>"CT_SAtoC1!"&amp;CT_HELP!G5&amp;"7:"&amp;INDEX(CT_HELP!$B$1:$B$220,CT_HELP!G4)&amp;""&amp;SUM($D$3,6)</f>
        <v>CT_SAtoC1!D7:D9</v>
      </c>
      <c r="E5" s="110" t="str">
        <f>"CT_SAtoC1!"&amp;CT_HELP!H5&amp;"7:"&amp;INDEX(CT_HELP!$B$1:$B$220,CT_HELP!H4)&amp;""&amp;SUM($D$3,6)</f>
        <v>CT_SAtoC1!E7:E9</v>
      </c>
      <c r="F5" s="110" t="str">
        <f>"CT_SAtoC1!"&amp;CT_HELP!I5&amp;"7:"&amp;INDEX(CT_HELP!$B$1:$B$220,CT_HELP!I4)&amp;""&amp;SUM($D$3,6)</f>
        <v>CT_SAtoC1!F7:F9</v>
      </c>
      <c r="G5" s="110" t="str">
        <f>"CT_SAtoC1!"&amp;CT_HELP!J5&amp;"7:"&amp;INDEX(CT_HELP!$B$1:$B$220,CT_HELP!J4)&amp;""&amp;SUM($D$3,6)</f>
        <v>CT_SAtoC1!G7:G9</v>
      </c>
      <c r="H5" s="110" t="str">
        <f>"CT_SAtoC1!"&amp;CT_HELP!K5&amp;"7:"&amp;INDEX(CT_HELP!$B$1:$B$220,CT_HELP!K4)&amp;""&amp;SUM($D$3,6)</f>
        <v>CT_SAtoC1!H7:H9</v>
      </c>
      <c r="I5" s="110" t="str">
        <f>"CT_SAtoC1!"&amp;CT_HELP!L5&amp;"7:"&amp;INDEX(CT_HELP!$B$1:$B$220,CT_HELP!L4)&amp;""&amp;SUM($D$3,6)</f>
        <v>CT_SAtoC1!I7:I9</v>
      </c>
      <c r="J5" s="110" t="str">
        <f>"CT_SAtoC1!"&amp;CT_HELP!M5&amp;"7:"&amp;INDEX(CT_HELP!$B$1:$B$220,CT_HELP!M4)&amp;""&amp;SUM($D$3,6)</f>
        <v>CT_SAtoC1!J7:J9</v>
      </c>
      <c r="K5" s="110" t="str">
        <f>"CT_SAtoC1!"&amp;CT_HELP!N5&amp;"7:"&amp;INDEX(CT_HELP!$B$1:$B$220,CT_HELP!N4)&amp;""&amp;SUM($D$3,6)</f>
        <v>CT_SAtoC1!K7:K9</v>
      </c>
      <c r="L5" s="110" t="str">
        <f>"CT_SAtoC1!"&amp;CT_HELP!O5&amp;"7:"&amp;INDEX(CT_HELP!$B$1:$B$220,CT_HELP!O4)&amp;""&amp;SUM($D$3,6)</f>
        <v>CT_SAtoC1!L7:L9</v>
      </c>
      <c r="M5" s="110" t="str">
        <f>"CT_SAtoC1!"&amp;CT_HELP!P5&amp;"7:"&amp;INDEX(CT_HELP!$B$1:$B$220,CT_HELP!P4)&amp;""&amp;SUM($D$3,6)</f>
        <v>CT_SAtoC1!M7:M9</v>
      </c>
      <c r="N5" s="110" t="str">
        <f>"CT_SAtoC1!"&amp;CT_HELP!Q5&amp;"7:"&amp;INDEX(CT_HELP!$B$1:$B$220,CT_HELP!Q4)&amp;""&amp;SUM($D$3,6)</f>
        <v>CT_SAtoC1!N7:N9</v>
      </c>
      <c r="O5" s="110" t="str">
        <f>"CT_SAtoC1!"&amp;CT_HELP!R5&amp;"7:"&amp;INDEX(CT_HELP!$B$1:$B$220,CT_HELP!R4)&amp;""&amp;SUM($D$3,6)</f>
        <v>CT_SAtoC1!O7:O9</v>
      </c>
      <c r="P5" s="110" t="str">
        <f>"CT_SAtoC1!"&amp;CT_HELP!S5&amp;"7:"&amp;INDEX(CT_HELP!$B$1:$B$220,CT_HELP!S4)&amp;""&amp;SUM($D$3,6)</f>
        <v>CT_SAtoC1!P7:P9</v>
      </c>
      <c r="Q5" s="110" t="str">
        <f>"CT_SAtoC1!"&amp;CT_HELP!T5&amp;"7:"&amp;INDEX(CT_HELP!$B$1:$B$220,CT_HELP!T4)&amp;""&amp;SUM($D$3,6)</f>
        <v>CT_SAtoC1!Q7:Q9</v>
      </c>
      <c r="R5" s="110" t="str">
        <f>"CT_SAtoC1!"&amp;CT_HELP!U5&amp;"7:"&amp;INDEX(CT_HELP!$B$1:$B$220,CT_HELP!U4)&amp;""&amp;SUM($D$3,6)</f>
        <v>CT_SAtoC1!R7:R9</v>
      </c>
      <c r="S5" s="110" t="str">
        <f>"CT_SAtoC1!"&amp;CT_HELP!V5&amp;"7:"&amp;INDEX(CT_HELP!$B$1:$B$220,CT_HELP!V4)&amp;""&amp;SUM($D$3,6)</f>
        <v>CT_SAtoC1!S7:S9</v>
      </c>
      <c r="T5" s="110" t="str">
        <f>"CT_SAtoC1!"&amp;CT_HELP!W5&amp;"7:"&amp;INDEX(CT_HELP!$B$1:$B$220,CT_HELP!W4)&amp;""&amp;SUM($D$3,6)</f>
        <v>CT_SAtoC1!T7:T9</v>
      </c>
      <c r="U5" s="629"/>
    </row>
    <row r="6" spans="1:200" ht="10.5" x14ac:dyDescent="0.25">
      <c r="B6" s="261" t="s">
        <v>319</v>
      </c>
      <c r="C6" s="259" t="s">
        <v>13</v>
      </c>
      <c r="D6" s="260" t="s">
        <v>14</v>
      </c>
      <c r="E6" s="260" t="s">
        <v>15</v>
      </c>
      <c r="F6" s="260" t="s">
        <v>16</v>
      </c>
      <c r="G6" s="260" t="s">
        <v>17</v>
      </c>
      <c r="H6" s="260" t="s">
        <v>341</v>
      </c>
      <c r="I6" s="260" t="s">
        <v>277</v>
      </c>
      <c r="J6" s="260" t="s">
        <v>18</v>
      </c>
      <c r="K6" s="260" t="s">
        <v>338</v>
      </c>
      <c r="L6" s="260" t="s">
        <v>339</v>
      </c>
      <c r="M6" s="260" t="s">
        <v>340</v>
      </c>
      <c r="N6" s="260" t="s">
        <v>278</v>
      </c>
      <c r="O6" s="260" t="s">
        <v>279</v>
      </c>
      <c r="P6" s="154" t="str">
        <f>LanguageTable!B4</f>
        <v>No cable</v>
      </c>
      <c r="Q6" s="154" t="str">
        <f>LanguageTable!B5</f>
        <v>Other cable</v>
      </c>
      <c r="R6" s="519" t="s">
        <v>589</v>
      </c>
      <c r="S6" s="4" t="s">
        <v>603</v>
      </c>
      <c r="T6" s="550" t="str">
        <f>LanguageTable!B47</f>
        <v>Default cable</v>
      </c>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row>
    <row r="7" spans="1:200" x14ac:dyDescent="0.2">
      <c r="A7" s="110" t="str">
        <f>"CT_SAtoC1!C"&amp;CT_HELP!A7&amp;":"&amp;INDEX(CT_HELP!$B$1:$B$200,$D$2+2)&amp;""&amp;CT_HELP!A7</f>
        <v>CT_SAtoC1!C7:T7</v>
      </c>
      <c r="B7" s="262" t="str">
        <f>LanguageTable!B6</f>
        <v>No surge arrestor</v>
      </c>
      <c r="C7" s="263" t="b">
        <v>1</v>
      </c>
      <c r="D7" s="263" t="b">
        <v>1</v>
      </c>
      <c r="E7" s="263" t="b">
        <v>1</v>
      </c>
      <c r="F7" s="263" t="b">
        <v>1</v>
      </c>
      <c r="G7" s="263" t="b">
        <v>1</v>
      </c>
      <c r="H7" s="263" t="b">
        <v>1</v>
      </c>
      <c r="I7" s="263" t="b">
        <v>1</v>
      </c>
      <c r="J7" s="263" t="b">
        <v>1</v>
      </c>
      <c r="K7" s="263" t="b">
        <v>1</v>
      </c>
      <c r="L7" s="263" t="b">
        <v>1</v>
      </c>
      <c r="M7" s="263" t="b">
        <v>1</v>
      </c>
      <c r="N7" s="263" t="b">
        <v>1</v>
      </c>
      <c r="O7" s="263" t="b">
        <v>1</v>
      </c>
      <c r="P7" s="263" t="b">
        <v>1</v>
      </c>
      <c r="Q7" s="263" t="b">
        <v>1</v>
      </c>
      <c r="R7" s="263" t="b">
        <v>1</v>
      </c>
      <c r="S7" s="263" t="b">
        <v>1</v>
      </c>
      <c r="T7" s="263" t="b">
        <v>1</v>
      </c>
    </row>
    <row r="8" spans="1:200" x14ac:dyDescent="0.2">
      <c r="A8" s="110" t="str">
        <f>"CT_SAtoC1!C"&amp;CT_HELP!A8&amp;":"&amp;INDEX(CT_HELP!$B$1:$B$200,$D$2+2)&amp;""&amp;CT_HELP!A8</f>
        <v>CT_SAtoC1!C8:T8</v>
      </c>
      <c r="B8" s="106" t="s">
        <v>240</v>
      </c>
      <c r="C8" s="263" t="b">
        <v>1</v>
      </c>
      <c r="D8" s="263" t="b">
        <v>1</v>
      </c>
      <c r="E8" s="263" t="b">
        <v>1</v>
      </c>
      <c r="F8" s="263" t="b">
        <v>1</v>
      </c>
      <c r="G8" s="263" t="b">
        <v>1</v>
      </c>
      <c r="H8" s="263" t="b">
        <v>1</v>
      </c>
      <c r="I8" s="263" t="b">
        <v>1</v>
      </c>
      <c r="J8" s="263" t="b">
        <v>1</v>
      </c>
      <c r="K8" s="263" t="b">
        <v>1</v>
      </c>
      <c r="L8" s="263" t="b">
        <v>1</v>
      </c>
      <c r="M8" s="263" t="b">
        <v>1</v>
      </c>
      <c r="N8" s="263" t="b">
        <v>1</v>
      </c>
      <c r="O8" s="263" t="b">
        <v>1</v>
      </c>
      <c r="P8" s="263" t="b">
        <v>1</v>
      </c>
      <c r="Q8" s="263" t="b">
        <v>1</v>
      </c>
      <c r="R8" s="263" t="b">
        <v>1</v>
      </c>
      <c r="S8" s="263" t="b">
        <v>1</v>
      </c>
      <c r="T8" s="263" t="b">
        <v>1</v>
      </c>
    </row>
    <row r="9" spans="1:200" x14ac:dyDescent="0.2">
      <c r="A9" s="110" t="str">
        <f>"CT_SAtoC1!C"&amp;CT_HELP!A9&amp;":"&amp;INDEX(CT_HELP!$B$1:$B$200,$D$2+2)&amp;""&amp;CT_HELP!A9</f>
        <v>CT_SAtoC1!C9:T9</v>
      </c>
      <c r="B9" s="106" t="s">
        <v>602</v>
      </c>
      <c r="C9" s="263" t="b">
        <v>1</v>
      </c>
      <c r="D9" s="263" t="b">
        <v>1</v>
      </c>
      <c r="E9" s="263" t="b">
        <v>1</v>
      </c>
      <c r="F9" s="263" t="b">
        <v>1</v>
      </c>
      <c r="G9" s="263" t="b">
        <v>1</v>
      </c>
      <c r="H9" s="263" t="b">
        <v>1</v>
      </c>
      <c r="I9" s="263" t="b">
        <v>1</v>
      </c>
      <c r="J9" s="263" t="b">
        <v>1</v>
      </c>
      <c r="K9" s="263" t="b">
        <v>1</v>
      </c>
      <c r="L9" s="263" t="b">
        <v>1</v>
      </c>
      <c r="M9" s="263" t="b">
        <v>1</v>
      </c>
      <c r="N9" s="263" t="b">
        <v>1</v>
      </c>
      <c r="O9" s="263" t="b">
        <v>1</v>
      </c>
      <c r="P9" s="263" t="b">
        <v>1</v>
      </c>
      <c r="Q9" s="263" t="b">
        <v>1</v>
      </c>
      <c r="R9" s="263" t="b">
        <v>1</v>
      </c>
      <c r="S9" s="263" t="b">
        <v>1</v>
      </c>
      <c r="T9" s="263" t="b">
        <v>1</v>
      </c>
    </row>
    <row r="10" spans="1:200" x14ac:dyDescent="0.2">
      <c r="A10" s="629"/>
      <c r="B10" s="106"/>
    </row>
    <row r="11" spans="1:200" x14ac:dyDescent="0.2">
      <c r="A11" s="155"/>
      <c r="B11" s="106"/>
    </row>
    <row r="12" spans="1:200" x14ac:dyDescent="0.2">
      <c r="A12" s="155"/>
      <c r="B12" s="106"/>
    </row>
    <row r="13" spans="1:200" x14ac:dyDescent="0.2">
      <c r="A13" s="155"/>
      <c r="B13" s="106"/>
    </row>
    <row r="14" spans="1:200" x14ac:dyDescent="0.2">
      <c r="A14" s="155"/>
      <c r="B14" s="106"/>
    </row>
    <row r="15" spans="1:200" x14ac:dyDescent="0.2">
      <c r="A15" s="155"/>
      <c r="B15" s="106"/>
    </row>
    <row r="16" spans="1:200" x14ac:dyDescent="0.2">
      <c r="A16" s="155"/>
      <c r="B16" s="60"/>
    </row>
  </sheetData>
  <phoneticPr fontId="2"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P56"/>
  <sheetViews>
    <sheetView workbookViewId="0">
      <selection activeCell="D2" sqref="D2"/>
    </sheetView>
  </sheetViews>
  <sheetFormatPr baseColWidth="10" defaultColWidth="11.453125" defaultRowHeight="12.5" x14ac:dyDescent="0.25"/>
  <cols>
    <col min="1" max="1" width="16.1796875" style="13" bestFit="1" customWidth="1"/>
    <col min="2" max="2" width="24.81640625" style="13" bestFit="1" customWidth="1"/>
    <col min="3" max="3" width="22.81640625" style="13" bestFit="1" customWidth="1"/>
    <col min="4" max="4" width="19.26953125" style="13" bestFit="1" customWidth="1"/>
    <col min="5" max="5" width="21" style="13" bestFit="1" customWidth="1"/>
    <col min="6" max="7" width="18.453125" style="13" bestFit="1" customWidth="1"/>
    <col min="8" max="9" width="20.26953125" style="13" bestFit="1" customWidth="1"/>
    <col min="10" max="10" width="19.453125" style="13" bestFit="1" customWidth="1"/>
    <col min="11" max="11" width="19.453125" style="13" customWidth="1"/>
    <col min="12" max="12" width="15" bestFit="1" customWidth="1"/>
    <col min="13" max="13" width="15.54296875" bestFit="1" customWidth="1"/>
    <col min="14" max="14" width="15" bestFit="1" customWidth="1"/>
    <col min="15" max="15" width="15.26953125" style="13" bestFit="1" customWidth="1"/>
    <col min="16" max="16" width="15" style="13" bestFit="1" customWidth="1"/>
    <col min="17" max="16384" width="11.453125" style="13"/>
  </cols>
  <sheetData>
    <row r="2" spans="1:16" x14ac:dyDescent="0.25">
      <c r="C2" s="527" t="s">
        <v>320</v>
      </c>
      <c r="D2" s="534">
        <f>COUNTA(C6:GS6)</f>
        <v>14</v>
      </c>
      <c r="F2" s="527" t="s">
        <v>292</v>
      </c>
      <c r="G2" s="534" t="str">
        <f>"CT_APtoANT!B7:B"&amp;D3+6</f>
        <v>CT_APtoANT!B7:B18</v>
      </c>
    </row>
    <row r="3" spans="1:16" x14ac:dyDescent="0.25">
      <c r="C3" s="528" t="s">
        <v>250</v>
      </c>
      <c r="D3" s="535">
        <f>COUNTA(B7:B78)</f>
        <v>12</v>
      </c>
      <c r="F3" s="528" t="s">
        <v>311</v>
      </c>
      <c r="G3" s="535" t="str">
        <f>"CT_APtoANT!C6:"&amp;INDEX(CT_HELP!$B$1:$B$200,$D$2+2)&amp;"6"</f>
        <v>CT_APtoANT!C6:P6</v>
      </c>
    </row>
    <row r="4" spans="1:16" x14ac:dyDescent="0.25">
      <c r="B4" s="533" t="str">
        <f>"CT_APtoANT!C5:"&amp;INDEX(CT_HELP!$B$1:$B$200,$D$2+2)&amp;"5"</f>
        <v>CT_APtoANT!C5:P5</v>
      </c>
    </row>
    <row r="5" spans="1:16" ht="10" x14ac:dyDescent="0.2">
      <c r="A5" s="533" t="str">
        <f>"CT_APtoANT!A7:A"&amp;D3+6</f>
        <v>CT_APtoANT!A7:A18</v>
      </c>
      <c r="C5" s="533" t="str">
        <f>"CT_APtoANT!"&amp;CT_HELP!F5&amp;"7:"&amp;INDEX(CT_HELP!$B$1:$B$220,CT_HELP!F4)&amp;""&amp;SUM($D$3,6)</f>
        <v>CT_APtoANT!C7:C18</v>
      </c>
      <c r="D5" s="533" t="str">
        <f>"CT_APtoANT!"&amp;CT_HELP!G5&amp;"7:"&amp;INDEX(CT_HELP!$B$1:$B$220,CT_HELP!G4)&amp;""&amp;SUM($D$3,6)</f>
        <v>CT_APtoANT!D7:D18</v>
      </c>
      <c r="E5" s="533" t="str">
        <f>"CT_APtoANT!"&amp;CT_HELP!H5&amp;"7:"&amp;INDEX(CT_HELP!$B$1:$B$220,CT_HELP!H4)&amp;""&amp;SUM($D$3,6)</f>
        <v>CT_APtoANT!E7:E18</v>
      </c>
      <c r="F5" s="533" t="str">
        <f>"CT_APtoANT!"&amp;CT_HELP!I5&amp;"7:"&amp;INDEX(CT_HELP!$B$1:$B$220,CT_HELP!I4)&amp;""&amp;SUM($D$3,6)</f>
        <v>CT_APtoANT!F7:F18</v>
      </c>
      <c r="G5" s="533" t="str">
        <f>"CT_APtoANT!"&amp;CT_HELP!J5&amp;"7:"&amp;INDEX(CT_HELP!$B$1:$B$220,CT_HELP!J4)&amp;""&amp;SUM($D$3,6)</f>
        <v>CT_APtoANT!G7:G18</v>
      </c>
      <c r="H5" s="533" t="str">
        <f>"CT_APtoANT!"&amp;CT_HELP!K5&amp;"7:"&amp;INDEX(CT_HELP!$B$1:$B$220,CT_HELP!K4)&amp;""&amp;SUM($D$3,6)</f>
        <v>CT_APtoANT!H7:H18</v>
      </c>
      <c r="I5" s="533" t="str">
        <f>"CT_APtoANT!"&amp;CT_HELP!L5&amp;"7:"&amp;INDEX(CT_HELP!$B$1:$B$220,CT_HELP!L4)&amp;""&amp;SUM($D$3,6)</f>
        <v>CT_APtoANT!I7:I18</v>
      </c>
      <c r="J5" s="533" t="str">
        <f>"CT_APtoANT!"&amp;CT_HELP!M5&amp;"7:"&amp;INDEX(CT_HELP!$B$1:$B$220,CT_HELP!M4)&amp;""&amp;SUM($D$3,6)</f>
        <v>CT_APtoANT!J7:J18</v>
      </c>
      <c r="K5" s="533" t="str">
        <f>"CT_APtoANT!"&amp;CT_HELP!N5&amp;"7:"&amp;INDEX(CT_HELP!$B$1:$B$220,CT_HELP!N4)&amp;""&amp;SUM($D$3,6)</f>
        <v>CT_APtoANT!K7:K18</v>
      </c>
      <c r="L5" s="533" t="str">
        <f>"CT_APtoANT!"&amp;CT_HELP!O5&amp;"7:"&amp;INDEX(CT_HELP!$B$1:$B$220,CT_HELP!O4)&amp;""&amp;SUM($D$3,6)</f>
        <v>CT_APtoANT!L7:L18</v>
      </c>
      <c r="M5" s="533" t="str">
        <f>"CT_APtoANT!"&amp;CT_HELP!P5&amp;"7:"&amp;INDEX(CT_HELP!$B$1:$B$220,CT_HELP!P4)&amp;""&amp;SUM($D$3,6)</f>
        <v>CT_APtoANT!M7:M18</v>
      </c>
      <c r="N5" s="533" t="str">
        <f>"CT_APtoANT!"&amp;CT_HELP!Q5&amp;"7:"&amp;INDEX(CT_HELP!$B$1:$B$220,CT_HELP!Q4)&amp;""&amp;SUM($D$3,6)</f>
        <v>CT_APtoANT!N7:N18</v>
      </c>
      <c r="O5" s="533" t="str">
        <f>"CT_APtoANT!"&amp;CT_HELP!R5&amp;"7:"&amp;INDEX(CT_HELP!$B$1:$B$220,CT_HELP!R4)&amp;""&amp;SUM($D$3,6)</f>
        <v>CT_APtoANT!O7:O18</v>
      </c>
      <c r="P5" s="533" t="str">
        <f>"CT_APtoANT!"&amp;CT_HELP!S5&amp;"7:"&amp;INDEX(CT_HELP!$B$1:$B$220,CT_HELP!S4)&amp;""&amp;SUM($D$3,6)</f>
        <v>CT_APtoANT!P7:P18</v>
      </c>
    </row>
    <row r="6" spans="1:16" ht="10.5" x14ac:dyDescent="0.25">
      <c r="B6" s="529" t="s">
        <v>604</v>
      </c>
      <c r="C6" s="211" t="s">
        <v>676</v>
      </c>
      <c r="D6" s="201" t="s">
        <v>687</v>
      </c>
      <c r="E6" s="200" t="s">
        <v>679</v>
      </c>
      <c r="F6" s="201" t="s">
        <v>600</v>
      </c>
      <c r="G6" s="201" t="s">
        <v>601</v>
      </c>
      <c r="H6" s="201" t="s">
        <v>675</v>
      </c>
      <c r="I6" s="201" t="s">
        <v>680</v>
      </c>
      <c r="J6" s="201" t="s">
        <v>681</v>
      </c>
      <c r="K6" s="201" t="s">
        <v>682</v>
      </c>
      <c r="L6" s="201" t="s">
        <v>728</v>
      </c>
      <c r="M6" s="201" t="s">
        <v>729</v>
      </c>
      <c r="N6" s="201" t="s">
        <v>697</v>
      </c>
      <c r="O6" s="530" t="str">
        <f>LanguageTable!B3</f>
        <v>Other antenna</v>
      </c>
      <c r="P6" s="530" t="str">
        <f>LanguageTable!B2</f>
        <v>Default antenna</v>
      </c>
    </row>
    <row r="7" spans="1:16" ht="10" x14ac:dyDescent="0.2">
      <c r="A7" s="533" t="str">
        <f>"CT_APtoANT!C"&amp;CT_HELP!A7&amp;":"&amp;INDEX(CT_HELP!$B$1:$B$200,$D$2+2)&amp;""&amp;CT_HELP!A7</f>
        <v>CT_APtoANT!C7:P7</v>
      </c>
      <c r="B7" s="98" t="s">
        <v>674</v>
      </c>
      <c r="C7" s="531" t="b">
        <v>1</v>
      </c>
      <c r="D7" s="531" t="b">
        <v>1</v>
      </c>
      <c r="E7" s="531" t="b">
        <v>1</v>
      </c>
      <c r="F7" s="531" t="b">
        <v>1</v>
      </c>
      <c r="G7" s="531" t="b">
        <v>1</v>
      </c>
      <c r="H7" s="531" t="b">
        <v>1</v>
      </c>
      <c r="I7" s="531" t="b">
        <v>1</v>
      </c>
      <c r="J7" s="531" t="b">
        <v>1</v>
      </c>
      <c r="K7" s="531" t="b">
        <v>1</v>
      </c>
      <c r="L7" s="531" t="b">
        <v>1</v>
      </c>
      <c r="M7" s="531" t="b">
        <v>1</v>
      </c>
      <c r="N7" s="532" t="b">
        <v>0</v>
      </c>
      <c r="O7" s="531" t="b">
        <v>1</v>
      </c>
      <c r="P7" s="531" t="b">
        <v>1</v>
      </c>
    </row>
    <row r="8" spans="1:16" ht="10" x14ac:dyDescent="0.2">
      <c r="A8" s="533" t="str">
        <f>"CT_APtoANT!C"&amp;CT_HELP!A8&amp;":"&amp;INDEX(CT_HELP!$B$1:$B$200,$D$2+2)&amp;""&amp;CT_HELP!A8</f>
        <v>CT_APtoANT!C8:P8</v>
      </c>
      <c r="B8" s="415" t="s">
        <v>678</v>
      </c>
      <c r="C8" s="532" t="b">
        <v>0</v>
      </c>
      <c r="D8" s="532" t="b">
        <v>0</v>
      </c>
      <c r="E8" s="532" t="b">
        <v>0</v>
      </c>
      <c r="F8" s="532" t="b">
        <v>0</v>
      </c>
      <c r="G8" s="532" t="b">
        <v>0</v>
      </c>
      <c r="H8" s="532" t="b">
        <v>0</v>
      </c>
      <c r="I8" s="532" t="b">
        <v>0</v>
      </c>
      <c r="J8" s="532" t="b">
        <v>0</v>
      </c>
      <c r="K8" s="532" t="b">
        <v>0</v>
      </c>
      <c r="L8" s="532" t="b">
        <v>0</v>
      </c>
      <c r="M8" s="532" t="b">
        <v>0</v>
      </c>
      <c r="N8" s="532" t="b">
        <v>0</v>
      </c>
      <c r="O8" s="532" t="b">
        <v>0</v>
      </c>
      <c r="P8" s="531" t="b">
        <v>1</v>
      </c>
    </row>
    <row r="9" spans="1:16" ht="10" x14ac:dyDescent="0.2">
      <c r="A9" s="533" t="str">
        <f>"CT_APtoANT!C"&amp;CT_HELP!A9&amp;":"&amp;INDEX(CT_HELP!$B$1:$B$200,$D$2+2)&amp;""&amp;CT_HELP!A9</f>
        <v>CT_APtoANT!C9:P9</v>
      </c>
      <c r="B9" s="415" t="s">
        <v>502</v>
      </c>
      <c r="C9" s="531" t="b">
        <v>1</v>
      </c>
      <c r="D9" s="531" t="b">
        <v>1</v>
      </c>
      <c r="E9" s="531" t="b">
        <v>1</v>
      </c>
      <c r="F9" s="531" t="b">
        <v>1</v>
      </c>
      <c r="G9" s="531" t="b">
        <v>1</v>
      </c>
      <c r="H9" s="531" t="b">
        <v>1</v>
      </c>
      <c r="I9" s="531" t="b">
        <v>1</v>
      </c>
      <c r="J9" s="531" t="b">
        <v>1</v>
      </c>
      <c r="K9" s="531" t="b">
        <v>1</v>
      </c>
      <c r="L9" s="531" t="b">
        <v>1</v>
      </c>
      <c r="M9" s="531" t="b">
        <v>1</v>
      </c>
      <c r="N9" s="532" t="b">
        <v>0</v>
      </c>
      <c r="O9" s="531" t="b">
        <v>1</v>
      </c>
      <c r="P9" s="531" t="b">
        <v>1</v>
      </c>
    </row>
    <row r="10" spans="1:16" ht="10" x14ac:dyDescent="0.2">
      <c r="A10" s="533" t="str">
        <f>"CT_APtoANT!C"&amp;CT_HELP!A10&amp;":"&amp;INDEX(CT_HELP!$B$1:$B$200,$D$2+2)&amp;""&amp;CT_HELP!A10</f>
        <v>CT_APtoANT!C10:P10</v>
      </c>
      <c r="B10" s="415" t="s">
        <v>501</v>
      </c>
      <c r="C10" s="531" t="b">
        <v>1</v>
      </c>
      <c r="D10" s="531" t="b">
        <v>1</v>
      </c>
      <c r="E10" s="531" t="b">
        <v>1</v>
      </c>
      <c r="F10" s="531" t="b">
        <v>1</v>
      </c>
      <c r="G10" s="531" t="b">
        <v>1</v>
      </c>
      <c r="H10" s="531" t="b">
        <v>1</v>
      </c>
      <c r="I10" s="531" t="b">
        <v>1</v>
      </c>
      <c r="J10" s="531" t="b">
        <v>1</v>
      </c>
      <c r="K10" s="531" t="b">
        <v>1</v>
      </c>
      <c r="L10" s="531" t="b">
        <v>1</v>
      </c>
      <c r="M10" s="531" t="b">
        <v>1</v>
      </c>
      <c r="N10" s="531" t="b">
        <v>1</v>
      </c>
      <c r="O10" s="531" t="b">
        <v>1</v>
      </c>
      <c r="P10" s="531" t="b">
        <v>1</v>
      </c>
    </row>
    <row r="11" spans="1:16" ht="10" x14ac:dyDescent="0.2">
      <c r="A11" s="533" t="str">
        <f>"CT_APtoANT!C"&amp;CT_HELP!A11&amp;":"&amp;INDEX(CT_HELP!$B$1:$B$200,$D$2+2)&amp;""&amp;CT_HELP!A11</f>
        <v>CT_APtoANT!C11:P11</v>
      </c>
      <c r="B11" s="415" t="s">
        <v>503</v>
      </c>
      <c r="C11" s="532" t="b">
        <v>0</v>
      </c>
      <c r="D11" s="532" t="b">
        <v>0</v>
      </c>
      <c r="E11" s="532" t="b">
        <v>0</v>
      </c>
      <c r="F11" s="532" t="b">
        <v>0</v>
      </c>
      <c r="G11" s="532" t="b">
        <v>0</v>
      </c>
      <c r="H11" s="532" t="b">
        <v>0</v>
      </c>
      <c r="I11" s="532" t="b">
        <v>0</v>
      </c>
      <c r="J11" s="532" t="b">
        <v>0</v>
      </c>
      <c r="K11" s="532" t="b">
        <v>0</v>
      </c>
      <c r="L11" s="532" t="b">
        <v>0</v>
      </c>
      <c r="M11" s="532" t="b">
        <v>0</v>
      </c>
      <c r="N11" s="532" t="b">
        <v>0</v>
      </c>
      <c r="O11" s="532" t="b">
        <v>0</v>
      </c>
      <c r="P11" s="531" t="b">
        <v>1</v>
      </c>
    </row>
    <row r="12" spans="1:16" ht="10" x14ac:dyDescent="0.2">
      <c r="A12" s="533" t="str">
        <f>"CT_APtoANT!C"&amp;CT_HELP!A12&amp;":"&amp;INDEX(CT_HELP!$B$1:$B$200,$D$2+2)&amp;""&amp;CT_HELP!A12</f>
        <v>CT_APtoANT!C12:P12</v>
      </c>
      <c r="B12" s="97" t="s">
        <v>677</v>
      </c>
      <c r="C12" s="531" t="b">
        <v>1</v>
      </c>
      <c r="D12" s="531" t="b">
        <v>1</v>
      </c>
      <c r="E12" s="531" t="b">
        <v>1</v>
      </c>
      <c r="F12" s="531" t="b">
        <v>1</v>
      </c>
      <c r="G12" s="531" t="b">
        <v>1</v>
      </c>
      <c r="H12" s="531" t="b">
        <v>1</v>
      </c>
      <c r="I12" s="531" t="b">
        <v>1</v>
      </c>
      <c r="J12" s="531" t="b">
        <v>1</v>
      </c>
      <c r="K12" s="531" t="b">
        <v>1</v>
      </c>
      <c r="L12" s="531" t="b">
        <v>1</v>
      </c>
      <c r="M12" s="531" t="b">
        <v>1</v>
      </c>
      <c r="N12" s="532" t="b">
        <v>0</v>
      </c>
      <c r="O12" s="531" t="b">
        <v>1</v>
      </c>
      <c r="P12" s="531" t="b">
        <v>1</v>
      </c>
    </row>
    <row r="13" spans="1:16" ht="10" x14ac:dyDescent="0.2">
      <c r="A13" s="533" t="str">
        <f>"CT_APtoANT!C"&amp;CT_HELP!A13&amp;":"&amp;INDEX(CT_HELP!$B$1:$B$200,$D$2+2)&amp;""&amp;CT_HELP!A13</f>
        <v>CT_APtoANT!C13:P13</v>
      </c>
      <c r="B13" s="415" t="s">
        <v>505</v>
      </c>
      <c r="C13" s="531" t="b">
        <v>1</v>
      </c>
      <c r="D13" s="531" t="b">
        <v>1</v>
      </c>
      <c r="E13" s="531" t="b">
        <v>1</v>
      </c>
      <c r="F13" s="531" t="b">
        <v>1</v>
      </c>
      <c r="G13" s="531" t="b">
        <v>1</v>
      </c>
      <c r="H13" s="531" t="b">
        <v>1</v>
      </c>
      <c r="I13" s="531" t="b">
        <v>1</v>
      </c>
      <c r="J13" s="531" t="b">
        <v>1</v>
      </c>
      <c r="K13" s="531" t="b">
        <v>1</v>
      </c>
      <c r="L13" s="531" t="b">
        <v>1</v>
      </c>
      <c r="M13" s="531" t="b">
        <v>1</v>
      </c>
      <c r="N13" s="532" t="b">
        <v>0</v>
      </c>
      <c r="O13" s="531" t="b">
        <v>1</v>
      </c>
      <c r="P13" s="531" t="b">
        <v>1</v>
      </c>
    </row>
    <row r="14" spans="1:16" ht="10" x14ac:dyDescent="0.2">
      <c r="A14" s="533" t="str">
        <f>"CT_APtoANT!C"&amp;CT_HELP!A14&amp;":"&amp;INDEX(CT_HELP!$B$1:$B$200,$D$2+2)&amp;""&amp;CT_HELP!A14</f>
        <v>CT_APtoANT!C14:P14</v>
      </c>
      <c r="B14" s="97" t="s">
        <v>605</v>
      </c>
      <c r="C14" s="531" t="b">
        <v>1</v>
      </c>
      <c r="D14" s="531" t="b">
        <v>1</v>
      </c>
      <c r="E14" s="531" t="b">
        <v>1</v>
      </c>
      <c r="F14" s="531" t="b">
        <v>1</v>
      </c>
      <c r="G14" s="531" t="b">
        <v>1</v>
      </c>
      <c r="H14" s="531" t="b">
        <v>1</v>
      </c>
      <c r="I14" s="531" t="b">
        <v>1</v>
      </c>
      <c r="J14" s="531" t="b">
        <v>1</v>
      </c>
      <c r="K14" s="531" t="b">
        <v>1</v>
      </c>
      <c r="L14" s="531" t="b">
        <v>1</v>
      </c>
      <c r="M14" s="531" t="b">
        <v>1</v>
      </c>
      <c r="N14" s="532" t="b">
        <v>0</v>
      </c>
      <c r="O14" s="531" t="b">
        <v>1</v>
      </c>
      <c r="P14" s="531" t="b">
        <v>1</v>
      </c>
    </row>
    <row r="15" spans="1:16" ht="10" x14ac:dyDescent="0.2">
      <c r="A15" s="533" t="str">
        <f>"CT_APtoANT!C"&amp;CT_HELP!A15&amp;":"&amp;INDEX(CT_HELP!$B$1:$B$200,$D$2+2)&amp;""&amp;CT_HELP!A15</f>
        <v>CT_APtoANT!C15:P15</v>
      </c>
      <c r="B15" s="195" t="s">
        <v>406</v>
      </c>
      <c r="C15" s="531" t="b">
        <v>1</v>
      </c>
      <c r="D15" s="531" t="b">
        <v>1</v>
      </c>
      <c r="E15" s="531" t="b">
        <v>1</v>
      </c>
      <c r="F15" s="531" t="b">
        <v>1</v>
      </c>
      <c r="G15" s="531" t="b">
        <v>1</v>
      </c>
      <c r="H15" s="531" t="b">
        <v>1</v>
      </c>
      <c r="I15" s="531" t="b">
        <v>1</v>
      </c>
      <c r="J15" s="531" t="b">
        <v>1</v>
      </c>
      <c r="K15" s="531" t="b">
        <v>1</v>
      </c>
      <c r="L15" s="531" t="b">
        <v>1</v>
      </c>
      <c r="M15" s="531" t="b">
        <v>1</v>
      </c>
      <c r="N15" s="532" t="b">
        <v>0</v>
      </c>
      <c r="O15" s="531" t="b">
        <v>1</v>
      </c>
      <c r="P15" s="531" t="b">
        <v>1</v>
      </c>
    </row>
    <row r="16" spans="1:16" ht="10" x14ac:dyDescent="0.2">
      <c r="A16" s="533" t="str">
        <f>"CT_APtoANT!C"&amp;CT_HELP!A16&amp;":"&amp;INDEX(CT_HELP!$B$1:$B$200,$D$2+2)&amp;""&amp;CT_HELP!A16</f>
        <v>CT_APtoANT!C16:P16</v>
      </c>
      <c r="B16" s="195" t="s">
        <v>405</v>
      </c>
      <c r="C16" s="531" t="b">
        <v>1</v>
      </c>
      <c r="D16" s="531" t="b">
        <v>1</v>
      </c>
      <c r="E16" s="531" t="b">
        <v>1</v>
      </c>
      <c r="F16" s="531" t="b">
        <v>1</v>
      </c>
      <c r="G16" s="531" t="b">
        <v>1</v>
      </c>
      <c r="H16" s="531" t="b">
        <v>1</v>
      </c>
      <c r="I16" s="531" t="b">
        <v>1</v>
      </c>
      <c r="J16" s="531" t="b">
        <v>1</v>
      </c>
      <c r="K16" s="531" t="b">
        <v>1</v>
      </c>
      <c r="L16" s="531" t="b">
        <v>1</v>
      </c>
      <c r="M16" s="531" t="b">
        <v>1</v>
      </c>
      <c r="N16" s="532" t="b">
        <v>0</v>
      </c>
      <c r="O16" s="531" t="b">
        <v>1</v>
      </c>
      <c r="P16" s="531" t="b">
        <v>1</v>
      </c>
    </row>
    <row r="17" spans="1:16" ht="10" x14ac:dyDescent="0.2">
      <c r="A17" s="533" t="str">
        <f>"CT_APtoANT!C"&amp;CT_HELP!A17&amp;":"&amp;INDEX(CT_HELP!$B$1:$B$200,$D$2+2)&amp;""&amp;CT_HELP!A17</f>
        <v>CT_APtoANT!C17:P17</v>
      </c>
      <c r="B17" s="97" t="s">
        <v>607</v>
      </c>
      <c r="C17" s="531" t="b">
        <v>1</v>
      </c>
      <c r="D17" s="531" t="b">
        <v>1</v>
      </c>
      <c r="E17" s="531" t="b">
        <v>1</v>
      </c>
      <c r="F17" s="531" t="b">
        <v>1</v>
      </c>
      <c r="G17" s="531" t="b">
        <v>1</v>
      </c>
      <c r="H17" s="531" t="b">
        <v>1</v>
      </c>
      <c r="I17" s="531" t="b">
        <v>1</v>
      </c>
      <c r="J17" s="531" t="b">
        <v>1</v>
      </c>
      <c r="K17" s="531" t="b">
        <v>1</v>
      </c>
      <c r="L17" s="531" t="b">
        <v>1</v>
      </c>
      <c r="M17" s="531" t="b">
        <v>1</v>
      </c>
      <c r="N17" s="532" t="b">
        <v>0</v>
      </c>
      <c r="O17" s="531" t="b">
        <v>1</v>
      </c>
      <c r="P17" s="531" t="b">
        <v>1</v>
      </c>
    </row>
    <row r="18" spans="1:16" ht="10" x14ac:dyDescent="0.2">
      <c r="A18" s="533" t="str">
        <f>"CT_APtoANT!C"&amp;CT_HELP!A18&amp;":"&amp;INDEX(CT_HELP!$B$1:$B$200,$D$2+2)&amp;""&amp;CT_HELP!A18</f>
        <v>CT_APtoANT!C18:P18</v>
      </c>
      <c r="B18" s="97" t="s">
        <v>606</v>
      </c>
      <c r="C18" s="531" t="b">
        <v>1</v>
      </c>
      <c r="D18" s="531" t="b">
        <v>1</v>
      </c>
      <c r="E18" s="531" t="b">
        <v>1</v>
      </c>
      <c r="F18" s="531" t="b">
        <v>1</v>
      </c>
      <c r="G18" s="531" t="b">
        <v>1</v>
      </c>
      <c r="H18" s="531" t="b">
        <v>1</v>
      </c>
      <c r="I18" s="531" t="b">
        <v>1</v>
      </c>
      <c r="J18" s="531" t="b">
        <v>1</v>
      </c>
      <c r="K18" s="531" t="b">
        <v>1</v>
      </c>
      <c r="L18" s="531" t="b">
        <v>1</v>
      </c>
      <c r="M18" s="531" t="b">
        <v>1</v>
      </c>
      <c r="N18" s="532" t="b">
        <v>0</v>
      </c>
      <c r="O18" s="531" t="b">
        <v>1</v>
      </c>
      <c r="P18" s="531" t="b">
        <v>1</v>
      </c>
    </row>
    <row r="19" spans="1:16" x14ac:dyDescent="0.25">
      <c r="A19" s="533"/>
      <c r="B19" s="98"/>
      <c r="C19" s="531"/>
      <c r="D19" s="531"/>
      <c r="E19" s="531"/>
      <c r="F19" s="531"/>
      <c r="G19" s="531"/>
      <c r="H19" s="531"/>
      <c r="I19" s="531"/>
      <c r="J19" s="531"/>
      <c r="K19" s="531"/>
      <c r="O19" s="531"/>
      <c r="P19" s="531"/>
    </row>
    <row r="20" spans="1:16" x14ac:dyDescent="0.25">
      <c r="A20" s="533"/>
      <c r="B20" s="98"/>
      <c r="C20" s="531"/>
      <c r="D20" s="531"/>
      <c r="E20" s="531"/>
      <c r="F20" s="531"/>
      <c r="G20" s="531"/>
      <c r="H20" s="531"/>
      <c r="I20" s="531"/>
      <c r="J20" s="531"/>
      <c r="K20" s="531"/>
      <c r="O20" s="531"/>
      <c r="P20" s="531"/>
    </row>
    <row r="21" spans="1:16" x14ac:dyDescent="0.25">
      <c r="A21" s="533"/>
      <c r="B21" s="98"/>
      <c r="C21" s="531"/>
      <c r="D21" s="531"/>
      <c r="E21" s="531"/>
      <c r="F21" s="531"/>
      <c r="G21" s="531"/>
      <c r="H21" s="531"/>
      <c r="I21" s="531"/>
      <c r="J21" s="531"/>
      <c r="K21" s="531"/>
      <c r="O21" s="531"/>
      <c r="P21" s="531"/>
    </row>
    <row r="22" spans="1:16" x14ac:dyDescent="0.25">
      <c r="A22" s="533"/>
      <c r="B22" s="98"/>
      <c r="C22" s="531"/>
      <c r="D22" s="531"/>
      <c r="E22" s="531"/>
      <c r="F22" s="531"/>
      <c r="G22" s="531"/>
      <c r="H22" s="531"/>
      <c r="I22" s="531"/>
      <c r="J22" s="531"/>
      <c r="K22" s="531"/>
      <c r="O22" s="531"/>
      <c r="P22" s="531"/>
    </row>
    <row r="23" spans="1:16" x14ac:dyDescent="0.25">
      <c r="A23" s="533"/>
      <c r="B23" s="98"/>
      <c r="C23" s="532"/>
      <c r="D23" s="532"/>
      <c r="E23" s="532"/>
      <c r="F23" s="532"/>
      <c r="G23" s="532"/>
      <c r="H23" s="532"/>
      <c r="I23" s="532"/>
      <c r="J23" s="532"/>
      <c r="K23" s="532"/>
      <c r="O23" s="532"/>
      <c r="P23" s="531"/>
    </row>
    <row r="24" spans="1:16" x14ac:dyDescent="0.25">
      <c r="A24" s="533"/>
      <c r="B24" s="98"/>
      <c r="C24" s="531"/>
      <c r="D24" s="531"/>
      <c r="E24" s="531"/>
      <c r="F24" s="531"/>
      <c r="G24" s="531"/>
      <c r="H24" s="531"/>
      <c r="I24" s="531"/>
      <c r="J24" s="531"/>
      <c r="K24" s="531"/>
      <c r="O24" s="531"/>
      <c r="P24" s="531"/>
    </row>
    <row r="25" spans="1:16" x14ac:dyDescent="0.25">
      <c r="A25" s="533"/>
      <c r="B25" s="98"/>
      <c r="C25" s="531"/>
      <c r="D25" s="531"/>
      <c r="E25" s="531"/>
      <c r="F25" s="531"/>
      <c r="G25" s="531"/>
      <c r="H25" s="531"/>
      <c r="I25" s="531"/>
      <c r="J25" s="531"/>
      <c r="K25" s="531"/>
      <c r="O25" s="531"/>
      <c r="P25" s="531"/>
    </row>
    <row r="26" spans="1:16" x14ac:dyDescent="0.25">
      <c r="A26" s="533"/>
      <c r="B26" s="418"/>
      <c r="C26" s="532"/>
      <c r="D26" s="532"/>
      <c r="E26" s="532"/>
      <c r="F26" s="532"/>
      <c r="G26" s="532"/>
      <c r="H26" s="532"/>
      <c r="I26" s="532"/>
      <c r="J26" s="532"/>
      <c r="K26" s="532"/>
      <c r="O26" s="532"/>
      <c r="P26" s="531"/>
    </row>
    <row r="27" spans="1:16" x14ac:dyDescent="0.25">
      <c r="A27" s="533"/>
      <c r="B27" s="98"/>
      <c r="C27" s="531"/>
      <c r="D27" s="531"/>
      <c r="E27" s="531"/>
      <c r="F27" s="531"/>
      <c r="G27" s="531"/>
      <c r="H27" s="531"/>
      <c r="I27" s="531"/>
      <c r="J27" s="531"/>
      <c r="K27" s="531"/>
      <c r="O27" s="531"/>
      <c r="P27" s="531"/>
    </row>
    <row r="28" spans="1:16" x14ac:dyDescent="0.25">
      <c r="A28" s="533"/>
      <c r="B28" s="418"/>
      <c r="C28" s="532"/>
      <c r="D28" s="532"/>
      <c r="E28" s="532"/>
      <c r="F28" s="532"/>
      <c r="G28" s="532"/>
      <c r="H28" s="532"/>
      <c r="I28" s="532"/>
      <c r="J28" s="532"/>
      <c r="K28" s="532"/>
      <c r="O28" s="532"/>
      <c r="P28" s="531"/>
    </row>
    <row r="29" spans="1:16" x14ac:dyDescent="0.25">
      <c r="A29" s="533"/>
      <c r="B29" s="415"/>
      <c r="C29" s="531"/>
      <c r="D29" s="531"/>
      <c r="E29" s="531"/>
      <c r="F29" s="531"/>
      <c r="G29" s="531"/>
      <c r="H29" s="531"/>
      <c r="I29" s="531"/>
      <c r="J29" s="531"/>
      <c r="K29" s="531"/>
      <c r="O29" s="531"/>
      <c r="P29" s="531"/>
    </row>
    <row r="30" spans="1:16" x14ac:dyDescent="0.25">
      <c r="A30" s="533"/>
      <c r="B30" s="415"/>
      <c r="C30" s="531"/>
      <c r="D30" s="531"/>
      <c r="E30" s="531"/>
      <c r="F30" s="531"/>
      <c r="G30" s="531"/>
      <c r="H30" s="531"/>
      <c r="I30" s="531"/>
      <c r="J30" s="531"/>
      <c r="K30" s="531"/>
      <c r="O30" s="531"/>
      <c r="P30" s="531"/>
    </row>
    <row r="31" spans="1:16" x14ac:dyDescent="0.25">
      <c r="A31" s="533"/>
      <c r="B31" s="415"/>
      <c r="C31" s="531"/>
      <c r="D31" s="531"/>
      <c r="E31" s="531"/>
      <c r="F31" s="531"/>
      <c r="G31" s="531"/>
      <c r="H31" s="531"/>
      <c r="I31" s="531"/>
      <c r="J31" s="531"/>
      <c r="K31" s="531"/>
      <c r="O31" s="531"/>
      <c r="P31" s="531"/>
    </row>
    <row r="32" spans="1:16" x14ac:dyDescent="0.25">
      <c r="A32" s="533"/>
      <c r="B32" s="415"/>
      <c r="C32" s="531"/>
      <c r="D32" s="531"/>
      <c r="E32" s="531"/>
      <c r="F32" s="531"/>
      <c r="G32" s="531"/>
      <c r="H32" s="531"/>
      <c r="I32" s="531"/>
      <c r="J32" s="531"/>
      <c r="K32" s="531"/>
      <c r="O32" s="531"/>
      <c r="P32" s="531"/>
    </row>
    <row r="33" spans="1:16" x14ac:dyDescent="0.25">
      <c r="A33" s="533"/>
      <c r="B33" s="415"/>
      <c r="C33" s="531"/>
      <c r="D33" s="531"/>
      <c r="E33" s="531"/>
      <c r="F33" s="531"/>
      <c r="G33" s="531"/>
      <c r="H33" s="531"/>
      <c r="I33" s="531"/>
      <c r="J33" s="531"/>
      <c r="K33" s="531"/>
      <c r="O33" s="531"/>
      <c r="P33" s="531"/>
    </row>
    <row r="34" spans="1:16" x14ac:dyDescent="0.25">
      <c r="A34" s="533"/>
      <c r="B34" s="418"/>
      <c r="C34" s="531"/>
      <c r="D34" s="531"/>
      <c r="E34" s="531"/>
      <c r="F34" s="531"/>
      <c r="G34" s="531"/>
      <c r="H34" s="531"/>
      <c r="I34" s="531"/>
      <c r="J34" s="531"/>
      <c r="K34" s="531"/>
      <c r="O34" s="531"/>
      <c r="P34" s="531"/>
    </row>
    <row r="35" spans="1:16" x14ac:dyDescent="0.25">
      <c r="A35" s="533"/>
      <c r="B35" s="418"/>
      <c r="C35" s="531"/>
      <c r="D35" s="531"/>
      <c r="E35" s="531"/>
      <c r="F35" s="531"/>
      <c r="G35" s="531"/>
      <c r="H35" s="531"/>
      <c r="I35" s="531"/>
      <c r="J35" s="531"/>
      <c r="K35" s="531"/>
      <c r="O35" s="531"/>
      <c r="P35" s="531"/>
    </row>
    <row r="36" spans="1:16" x14ac:dyDescent="0.25">
      <c r="A36" s="533"/>
      <c r="B36" s="418"/>
      <c r="C36" s="531"/>
      <c r="D36" s="531"/>
      <c r="E36" s="531"/>
      <c r="F36" s="531"/>
      <c r="G36" s="531"/>
      <c r="H36" s="531"/>
      <c r="I36" s="531"/>
      <c r="J36" s="531"/>
      <c r="K36" s="531"/>
      <c r="O36" s="531"/>
      <c r="P36" s="531"/>
    </row>
    <row r="37" spans="1:16" x14ac:dyDescent="0.25">
      <c r="A37" s="533"/>
      <c r="B37" s="418"/>
      <c r="C37" s="531"/>
      <c r="D37" s="531"/>
      <c r="E37" s="531"/>
      <c r="F37" s="531"/>
      <c r="G37" s="531"/>
      <c r="H37" s="531"/>
      <c r="I37" s="531"/>
      <c r="J37" s="531"/>
      <c r="K37" s="531"/>
      <c r="O37" s="531"/>
      <c r="P37" s="531"/>
    </row>
    <row r="38" spans="1:16" x14ac:dyDescent="0.25">
      <c r="A38" s="533"/>
      <c r="B38" s="418"/>
      <c r="C38" s="531"/>
      <c r="D38" s="531"/>
      <c r="E38" s="531"/>
      <c r="F38" s="531"/>
      <c r="G38" s="531"/>
      <c r="H38" s="531"/>
      <c r="I38" s="531"/>
      <c r="J38" s="531"/>
      <c r="K38" s="531"/>
      <c r="O38" s="531"/>
      <c r="P38" s="531"/>
    </row>
    <row r="39" spans="1:16" x14ac:dyDescent="0.25">
      <c r="A39" s="533"/>
      <c r="B39" s="418"/>
      <c r="C39" s="531"/>
      <c r="D39" s="531"/>
      <c r="E39" s="531"/>
      <c r="F39" s="531"/>
      <c r="G39" s="531"/>
      <c r="H39" s="531"/>
      <c r="I39" s="531"/>
      <c r="J39" s="531"/>
      <c r="K39" s="531"/>
      <c r="O39" s="531"/>
      <c r="P39" s="531"/>
    </row>
    <row r="40" spans="1:16" x14ac:dyDescent="0.25">
      <c r="A40" s="533"/>
      <c r="B40" s="418"/>
      <c r="C40" s="531"/>
      <c r="D40" s="531"/>
      <c r="E40" s="531"/>
      <c r="F40" s="531"/>
      <c r="G40" s="531"/>
      <c r="H40" s="531"/>
      <c r="I40" s="531"/>
      <c r="J40" s="531"/>
      <c r="K40" s="531"/>
      <c r="O40" s="531"/>
      <c r="P40" s="531"/>
    </row>
    <row r="41" spans="1:16" x14ac:dyDescent="0.25">
      <c r="A41" s="533"/>
      <c r="B41" s="415"/>
      <c r="C41" s="531"/>
      <c r="D41" s="531"/>
      <c r="E41" s="531"/>
      <c r="F41" s="531"/>
      <c r="G41" s="531"/>
      <c r="H41" s="531"/>
      <c r="I41" s="531"/>
      <c r="J41" s="531"/>
      <c r="K41" s="531"/>
      <c r="O41" s="531"/>
      <c r="P41" s="531"/>
    </row>
    <row r="42" spans="1:16" x14ac:dyDescent="0.25">
      <c r="A42" s="533"/>
      <c r="B42" s="415"/>
      <c r="C42" s="531"/>
      <c r="D42" s="531"/>
      <c r="E42" s="531"/>
      <c r="F42" s="531"/>
      <c r="G42" s="531"/>
      <c r="H42" s="531"/>
      <c r="I42" s="531"/>
      <c r="J42" s="531"/>
      <c r="K42" s="531"/>
      <c r="O42" s="531"/>
      <c r="P42" s="531"/>
    </row>
    <row r="43" spans="1:16" x14ac:dyDescent="0.25">
      <c r="A43" s="533"/>
      <c r="B43" s="415"/>
      <c r="C43" s="531"/>
      <c r="D43" s="531"/>
      <c r="E43" s="531"/>
      <c r="F43" s="531"/>
      <c r="G43" s="531"/>
      <c r="H43" s="531"/>
      <c r="I43" s="531"/>
      <c r="J43" s="531"/>
      <c r="K43" s="531"/>
      <c r="O43" s="531"/>
      <c r="P43" s="531"/>
    </row>
    <row r="44" spans="1:16" x14ac:dyDescent="0.25">
      <c r="A44" s="533"/>
      <c r="B44" s="415"/>
      <c r="C44" s="531"/>
      <c r="D44" s="531"/>
      <c r="E44" s="531"/>
      <c r="F44" s="531"/>
      <c r="G44" s="531"/>
      <c r="H44" s="531"/>
      <c r="I44" s="531"/>
      <c r="J44" s="531"/>
      <c r="K44" s="531"/>
      <c r="O44" s="531"/>
      <c r="P44" s="531"/>
    </row>
    <row r="45" spans="1:16" x14ac:dyDescent="0.25">
      <c r="A45" s="533"/>
      <c r="B45" s="415"/>
      <c r="C45" s="531"/>
      <c r="D45" s="531"/>
      <c r="E45" s="531"/>
      <c r="F45" s="531"/>
      <c r="G45" s="531"/>
      <c r="H45" s="531"/>
      <c r="I45" s="531"/>
      <c r="J45" s="531"/>
      <c r="K45" s="531"/>
      <c r="O45" s="531"/>
      <c r="P45" s="531"/>
    </row>
    <row r="46" spans="1:16" x14ac:dyDescent="0.25">
      <c r="A46" s="533"/>
      <c r="B46" s="415"/>
      <c r="C46" s="531"/>
      <c r="D46" s="531"/>
      <c r="E46" s="531"/>
      <c r="F46" s="531"/>
      <c r="G46" s="531"/>
      <c r="H46" s="531"/>
      <c r="I46" s="531"/>
      <c r="J46" s="531"/>
      <c r="K46" s="531"/>
      <c r="O46" s="531"/>
      <c r="P46" s="531"/>
    </row>
    <row r="47" spans="1:16" x14ac:dyDescent="0.25">
      <c r="A47" s="533"/>
      <c r="B47" s="415"/>
      <c r="C47" s="532"/>
      <c r="D47" s="532"/>
      <c r="E47" s="532"/>
      <c r="F47" s="532"/>
      <c r="G47" s="532"/>
      <c r="H47" s="532"/>
      <c r="I47" s="532"/>
      <c r="J47" s="532"/>
      <c r="K47" s="532"/>
      <c r="O47" s="532"/>
      <c r="P47" s="531"/>
    </row>
    <row r="48" spans="1:16" x14ac:dyDescent="0.25">
      <c r="A48" s="533"/>
      <c r="B48" s="415"/>
      <c r="C48" s="531"/>
      <c r="D48" s="531"/>
      <c r="E48" s="531"/>
      <c r="F48" s="531"/>
      <c r="G48" s="531"/>
      <c r="H48" s="531"/>
      <c r="I48" s="531"/>
      <c r="J48" s="531"/>
      <c r="K48" s="531"/>
      <c r="O48" s="531"/>
      <c r="P48" s="531"/>
    </row>
    <row r="49" spans="1:16" x14ac:dyDescent="0.25">
      <c r="A49" s="533"/>
      <c r="B49" s="415"/>
      <c r="C49" s="531"/>
      <c r="D49" s="531"/>
      <c r="E49" s="531"/>
      <c r="F49" s="531"/>
      <c r="G49" s="531"/>
      <c r="H49" s="531"/>
      <c r="I49" s="531"/>
      <c r="J49" s="531"/>
      <c r="K49" s="531"/>
      <c r="O49" s="531"/>
      <c r="P49" s="531"/>
    </row>
    <row r="50" spans="1:16" x14ac:dyDescent="0.25">
      <c r="A50" s="533"/>
      <c r="B50" s="415"/>
      <c r="C50" s="531"/>
      <c r="D50" s="531"/>
      <c r="E50" s="531"/>
      <c r="F50" s="531"/>
      <c r="G50" s="531"/>
      <c r="H50" s="531"/>
      <c r="I50" s="531"/>
      <c r="J50" s="531"/>
      <c r="K50" s="531"/>
      <c r="O50" s="531"/>
      <c r="P50" s="531"/>
    </row>
    <row r="51" spans="1:16" x14ac:dyDescent="0.25">
      <c r="A51" s="533"/>
      <c r="B51" s="415"/>
      <c r="C51" s="531"/>
      <c r="D51" s="531"/>
      <c r="E51" s="531"/>
      <c r="F51" s="531"/>
      <c r="G51" s="531"/>
      <c r="H51" s="531"/>
      <c r="I51" s="531"/>
      <c r="J51" s="531"/>
      <c r="K51" s="531"/>
      <c r="O51" s="531"/>
      <c r="P51" s="531"/>
    </row>
    <row r="52" spans="1:16" x14ac:dyDescent="0.25">
      <c r="A52" s="533"/>
      <c r="B52" s="415"/>
      <c r="C52" s="531"/>
      <c r="D52" s="531"/>
      <c r="E52" s="531"/>
      <c r="F52" s="531"/>
      <c r="G52" s="531"/>
      <c r="H52" s="531"/>
      <c r="I52" s="531"/>
      <c r="J52" s="531"/>
      <c r="K52" s="531"/>
      <c r="O52" s="531"/>
      <c r="P52" s="531"/>
    </row>
    <row r="53" spans="1:16" x14ac:dyDescent="0.25">
      <c r="A53" s="533"/>
      <c r="B53" s="415"/>
      <c r="C53" s="531"/>
      <c r="D53" s="531"/>
      <c r="E53" s="531"/>
      <c r="F53" s="531"/>
      <c r="G53" s="531"/>
      <c r="H53" s="531"/>
      <c r="I53" s="531"/>
      <c r="J53" s="531"/>
      <c r="K53" s="531"/>
      <c r="O53" s="531"/>
      <c r="P53" s="531"/>
    </row>
    <row r="54" spans="1:16" x14ac:dyDescent="0.25">
      <c r="A54" s="533"/>
      <c r="B54" s="415"/>
      <c r="C54" s="531"/>
      <c r="D54" s="531"/>
      <c r="E54" s="531"/>
      <c r="F54" s="531"/>
      <c r="G54" s="531"/>
      <c r="H54" s="531"/>
      <c r="I54" s="531"/>
      <c r="J54" s="531"/>
      <c r="K54" s="531"/>
      <c r="O54" s="531"/>
      <c r="P54" s="531"/>
    </row>
    <row r="55" spans="1:16" x14ac:dyDescent="0.25">
      <c r="A55" s="533"/>
      <c r="C55" s="531"/>
      <c r="D55" s="531"/>
      <c r="E55" s="531"/>
      <c r="F55" s="531"/>
      <c r="G55" s="531"/>
      <c r="H55" s="531"/>
      <c r="I55" s="531"/>
      <c r="J55" s="531"/>
      <c r="K55" s="531"/>
      <c r="O55" s="531"/>
      <c r="P55" s="531"/>
    </row>
    <row r="56" spans="1:16" x14ac:dyDescent="0.25">
      <c r="A56" s="533"/>
    </row>
  </sheetData>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BL649"/>
  <sheetViews>
    <sheetView workbookViewId="0">
      <selection activeCell="D2" sqref="D2"/>
    </sheetView>
  </sheetViews>
  <sheetFormatPr baseColWidth="10" defaultColWidth="11.453125" defaultRowHeight="12.5" x14ac:dyDescent="0.25"/>
  <cols>
    <col min="1" max="1" width="11.453125" customWidth="1"/>
    <col min="2" max="2" width="23.1796875" customWidth="1"/>
    <col min="3" max="3" width="23.453125" bestFit="1" customWidth="1"/>
    <col min="4" max="4" width="23.453125" customWidth="1"/>
    <col min="5" max="5" width="23.453125" bestFit="1" customWidth="1"/>
    <col min="6" max="6" width="24.453125" bestFit="1" customWidth="1"/>
    <col min="7" max="7" width="4.26953125" style="122" customWidth="1"/>
    <col min="8" max="8" width="23.1796875" customWidth="1"/>
    <col min="9" max="9" width="23" bestFit="1" customWidth="1"/>
    <col min="10" max="10" width="22.54296875" bestFit="1" customWidth="1"/>
    <col min="11" max="11" width="25.81640625" bestFit="1" customWidth="1"/>
    <col min="12" max="12" width="26.453125" customWidth="1"/>
    <col min="13" max="13" width="25" customWidth="1"/>
    <col min="14" max="14" width="23.453125" bestFit="1" customWidth="1"/>
    <col min="15" max="15" width="23.7265625" bestFit="1" customWidth="1"/>
    <col min="16" max="16" width="11.453125" customWidth="1"/>
    <col min="17" max="17" width="27" bestFit="1" customWidth="1"/>
    <col min="18" max="18" width="4" customWidth="1"/>
    <col min="19" max="19" width="23.453125" bestFit="1" customWidth="1"/>
    <col min="20" max="20" width="24" bestFit="1" customWidth="1"/>
    <col min="21" max="21" width="23.453125" bestFit="1" customWidth="1"/>
    <col min="22" max="22" width="11.453125" customWidth="1"/>
    <col min="23" max="23" width="26.453125" bestFit="1" customWidth="1"/>
    <col min="24" max="24" width="3.7265625" customWidth="1"/>
    <col min="25" max="25" width="11.54296875" customWidth="1"/>
    <col min="26" max="26" width="23" bestFit="1" customWidth="1"/>
    <col min="27" max="27" width="11.453125" customWidth="1"/>
    <col min="28" max="30" width="26" bestFit="1" customWidth="1"/>
    <col min="31" max="31" width="25.81640625" bestFit="1" customWidth="1"/>
    <col min="32" max="32" width="25.7265625" bestFit="1" customWidth="1"/>
    <col min="33" max="33" width="11.453125" customWidth="1"/>
    <col min="34" max="34" width="23.453125" bestFit="1" customWidth="1"/>
    <col min="35" max="35" width="4" customWidth="1"/>
    <col min="36" max="36" width="25.1796875" bestFit="1" customWidth="1"/>
    <col min="37" max="37" width="26" bestFit="1" customWidth="1"/>
    <col min="38" max="38" width="25.453125" bestFit="1" customWidth="1"/>
    <col min="39" max="40" width="26" bestFit="1" customWidth="1"/>
    <col min="41" max="41" width="26.453125" bestFit="1" customWidth="1"/>
    <col min="42" max="42" width="26" bestFit="1" customWidth="1"/>
    <col min="43" max="43" width="26.453125" bestFit="1" customWidth="1"/>
    <col min="44" max="44" width="26" bestFit="1" customWidth="1"/>
    <col min="45" max="45" width="23.453125" bestFit="1" customWidth="1"/>
    <col min="46" max="46" width="11.453125" customWidth="1"/>
    <col min="47" max="47" width="24" bestFit="1" customWidth="1"/>
    <col min="49" max="49" width="27.26953125" bestFit="1" customWidth="1"/>
    <col min="50" max="50" width="25.453125" bestFit="1" customWidth="1"/>
    <col min="51" max="51" width="26" bestFit="1" customWidth="1"/>
    <col min="52" max="52" width="7" bestFit="1" customWidth="1"/>
    <col min="53" max="53" width="26.453125" bestFit="1" customWidth="1"/>
    <col min="54" max="54" width="27.26953125" bestFit="1" customWidth="1"/>
    <col min="55" max="56" width="26" bestFit="1" customWidth="1"/>
    <col min="58" max="58" width="26" bestFit="1" customWidth="1"/>
    <col min="60" max="60" width="26" bestFit="1" customWidth="1"/>
    <col min="61" max="61" width="25.81640625" bestFit="1" customWidth="1"/>
    <col min="62" max="62" width="25.1796875" bestFit="1" customWidth="1"/>
    <col min="63" max="63" width="11.7265625" customWidth="1"/>
    <col min="64" max="64" width="26.453125" bestFit="1" customWidth="1"/>
  </cols>
  <sheetData>
    <row r="1" spans="2:64" x14ac:dyDescent="0.25">
      <c r="B1" s="238" t="s">
        <v>291</v>
      </c>
      <c r="C1" s="238"/>
      <c r="D1" s="238"/>
      <c r="E1" s="238"/>
      <c r="F1" s="238"/>
      <c r="H1" s="238" t="s">
        <v>301</v>
      </c>
      <c r="I1" s="238"/>
      <c r="J1" s="238"/>
      <c r="K1" s="238"/>
      <c r="L1" s="238"/>
      <c r="M1" s="238"/>
      <c r="N1" s="238"/>
      <c r="O1" s="122"/>
      <c r="S1" s="536" t="s">
        <v>592</v>
      </c>
      <c r="T1" s="537"/>
      <c r="U1" s="537"/>
      <c r="V1" s="537"/>
      <c r="W1" s="537"/>
      <c r="Y1" s="625" t="s">
        <v>312</v>
      </c>
      <c r="Z1" s="624"/>
      <c r="AA1" s="624"/>
      <c r="AB1" s="624"/>
      <c r="AC1" s="624"/>
      <c r="AD1" s="624"/>
      <c r="AE1" s="624"/>
      <c r="AF1" s="624"/>
      <c r="AG1" s="624"/>
      <c r="AH1" s="624"/>
      <c r="AJ1" s="537" t="s">
        <v>287</v>
      </c>
      <c r="AK1" s="537" t="s">
        <v>324</v>
      </c>
      <c r="AL1" s="537"/>
      <c r="AM1" s="537"/>
      <c r="AN1" s="552"/>
      <c r="AO1" s="537"/>
      <c r="AP1" s="537"/>
      <c r="AQ1" s="537"/>
      <c r="AR1" s="537"/>
      <c r="AS1" s="537"/>
      <c r="AU1" s="537" t="s">
        <v>328</v>
      </c>
      <c r="AW1" t="s">
        <v>307</v>
      </c>
      <c r="BB1" s="152" t="s">
        <v>593</v>
      </c>
      <c r="BH1" s="152" t="s">
        <v>617</v>
      </c>
    </row>
    <row r="2" spans="2:64" x14ac:dyDescent="0.25">
      <c r="B2" s="238" t="s">
        <v>139</v>
      </c>
      <c r="C2" s="238" t="s">
        <v>294</v>
      </c>
      <c r="D2" s="238" t="s">
        <v>295</v>
      </c>
      <c r="E2" s="241" t="s">
        <v>298</v>
      </c>
      <c r="F2" s="242" t="s">
        <v>296</v>
      </c>
      <c r="H2" s="135" t="s">
        <v>139</v>
      </c>
      <c r="I2" s="135" t="s">
        <v>299</v>
      </c>
      <c r="J2" s="135" t="s">
        <v>298</v>
      </c>
      <c r="K2" s="135" t="s">
        <v>300</v>
      </c>
      <c r="L2" s="241" t="s">
        <v>302</v>
      </c>
      <c r="M2" s="92" t="s">
        <v>303</v>
      </c>
      <c r="N2" s="92" t="s">
        <v>304</v>
      </c>
      <c r="O2" s="241" t="s">
        <v>295</v>
      </c>
      <c r="P2" s="241" t="s">
        <v>305</v>
      </c>
      <c r="Q2" s="242" t="s">
        <v>306</v>
      </c>
      <c r="S2" s="241" t="s">
        <v>139</v>
      </c>
      <c r="T2" s="241" t="s">
        <v>294</v>
      </c>
      <c r="U2" s="241" t="s">
        <v>295</v>
      </c>
      <c r="V2" s="241" t="s">
        <v>298</v>
      </c>
      <c r="W2" s="242" t="s">
        <v>308</v>
      </c>
      <c r="Y2" s="242" t="s">
        <v>139</v>
      </c>
      <c r="Z2" s="242" t="s">
        <v>313</v>
      </c>
      <c r="AA2" s="242" t="s">
        <v>298</v>
      </c>
      <c r="AB2" s="242" t="s">
        <v>314</v>
      </c>
      <c r="AC2" s="241" t="s">
        <v>315</v>
      </c>
      <c r="AD2" s="242" t="s">
        <v>303</v>
      </c>
      <c r="AE2" s="242" t="s">
        <v>318</v>
      </c>
      <c r="AF2" s="241" t="s">
        <v>295</v>
      </c>
      <c r="AG2" s="241" t="s">
        <v>305</v>
      </c>
      <c r="AH2" s="242" t="s">
        <v>316</v>
      </c>
      <c r="AJ2" s="241" t="s">
        <v>139</v>
      </c>
      <c r="AK2" s="242" t="s">
        <v>294</v>
      </c>
      <c r="AL2" s="242" t="s">
        <v>298</v>
      </c>
      <c r="AM2" s="242" t="s">
        <v>323</v>
      </c>
      <c r="AN2" s="241" t="s">
        <v>325</v>
      </c>
      <c r="AO2" s="242" t="s">
        <v>303</v>
      </c>
      <c r="AP2" s="92" t="s">
        <v>326</v>
      </c>
      <c r="AQ2" s="241" t="s">
        <v>295</v>
      </c>
      <c r="AR2" s="242" t="s">
        <v>139</v>
      </c>
      <c r="AS2" s="242" t="s">
        <v>327</v>
      </c>
      <c r="AU2" s="266"/>
      <c r="AW2" s="241" t="s">
        <v>139</v>
      </c>
      <c r="AX2" s="241" t="s">
        <v>294</v>
      </c>
      <c r="AY2" s="241" t="s">
        <v>295</v>
      </c>
      <c r="AZ2" s="241" t="s">
        <v>298</v>
      </c>
      <c r="BA2" s="542" t="s">
        <v>594</v>
      </c>
      <c r="BB2" s="543" t="s">
        <v>303</v>
      </c>
      <c r="BC2" s="241" t="s">
        <v>294</v>
      </c>
      <c r="BD2" s="150" t="s">
        <v>595</v>
      </c>
      <c r="BE2" s="150" t="s">
        <v>305</v>
      </c>
      <c r="BF2" s="150" t="s">
        <v>596</v>
      </c>
      <c r="BH2" s="241" t="s">
        <v>139</v>
      </c>
      <c r="BI2" s="241" t="s">
        <v>294</v>
      </c>
      <c r="BJ2" s="241" t="s">
        <v>295</v>
      </c>
      <c r="BK2" s="241" t="s">
        <v>298</v>
      </c>
      <c r="BL2" s="542" t="s">
        <v>618</v>
      </c>
    </row>
    <row r="3" spans="2:64" ht="13" thickBot="1" x14ac:dyDescent="0.3">
      <c r="B3" s="243" t="str">
        <f>"PointATempTables!B4:B"&amp;4+ProductTable!W2</f>
        <v>PointATempTables!B4:B28</v>
      </c>
      <c r="C3" s="244" t="str">
        <f>"PointATempTables!C4:C"&amp;4+ProductTable!W2</f>
        <v>PointATempTables!C4:C28</v>
      </c>
      <c r="D3" s="245" t="str">
        <f>"PointATempTables!D4:D"&amp;4+ProductTable!W2</f>
        <v>PointATempTables!D4:D28</v>
      </c>
      <c r="E3" s="246"/>
      <c r="F3" s="241"/>
      <c r="H3" s="243" t="str">
        <f>"PointATempTables!H4:H"&amp;4+ProductTable!AB2</f>
        <v>PointATempTables!H4:H11</v>
      </c>
      <c r="I3" s="243" t="str">
        <f>"PointATempTables!I4:I"&amp;4+ProductTable!AB2</f>
        <v>PointATempTables!I4:I11</v>
      </c>
      <c r="J3" s="245" t="str">
        <f>"PointATempTables!J4:J"&amp;4+ProductTable!AB2</f>
        <v>PointATempTables!J4:J11</v>
      </c>
      <c r="K3" s="250" t="str">
        <f>"PointATempTables!K4:K"&amp;4+ProductTable!AB2</f>
        <v>PointATempTables!K4:K11</v>
      </c>
      <c r="L3" s="249" t="str">
        <f>"PointATempTables!L4:L"&amp;4+ProductTable!AB2</f>
        <v>PointATempTables!L4:L11</v>
      </c>
      <c r="M3" s="241"/>
      <c r="N3" s="252" t="str">
        <f>"PointATempTables!N4:N"&amp;4+ProductTable!AB2</f>
        <v>PointATempTables!N4:N11</v>
      </c>
      <c r="O3" s="253" t="str">
        <f>"PointATempTables!O4:O"&amp;4+ProductTable!AB2</f>
        <v>PointATempTables!O4:O11</v>
      </c>
      <c r="P3" s="241"/>
      <c r="Q3" s="241"/>
      <c r="S3" s="243" t="str">
        <f>"PointATempTables!S4:S"&amp;4+ProductTable!$H$2</f>
        <v>PointATempTables!S4:S18</v>
      </c>
      <c r="T3" s="243" t="str">
        <f>"PointATempTables!T4:T"&amp;4+ProductTable!$H$2</f>
        <v>PointATempTables!T4:T18</v>
      </c>
      <c r="U3" s="243" t="str">
        <f>"PointATempTables!U4:U"&amp;4+ProductTable!$H$2</f>
        <v>PointATempTables!U4:U18</v>
      </c>
      <c r="V3" s="241"/>
      <c r="W3" s="241"/>
      <c r="Y3" s="241"/>
      <c r="Z3" s="243" t="str">
        <f>"PointATempTables!Z4:Z"&amp;4+ProductTable!M2</f>
        <v>PointATempTables!Z4:Z22</v>
      </c>
      <c r="AA3" s="241"/>
      <c r="AB3" s="243" t="str">
        <f>"PointATempTables!AB4:AB"&amp;4+ProductTable!$M$2</f>
        <v>PointATempTables!AB4:AB22</v>
      </c>
      <c r="AC3" s="243" t="str">
        <f>"PointATempTables!AC4:AC"&amp;4+ProductTable!M2</f>
        <v>PointATempTables!AC4:AC22</v>
      </c>
      <c r="AD3" s="243" t="str">
        <f>"PointATempTables!AD4:AD"&amp;4+ProductTable!M2</f>
        <v>PointATempTables!AD4:AD22</v>
      </c>
      <c r="AE3" s="243" t="str">
        <f>"PointATempTables!AE4:AE"&amp;4+ProductTable!M2</f>
        <v>PointATempTables!AE4:AE22</v>
      </c>
      <c r="AF3" s="243" t="str">
        <f>"PointATempTables!AF4:AF"&amp;4+ProductTable!M2</f>
        <v>PointATempTables!AF4:AF22</v>
      </c>
      <c r="AG3" s="241"/>
      <c r="AH3" s="241"/>
      <c r="AJ3" s="243" t="str">
        <f>"PointATempTables!AJ4:AJ"&amp;4+ProductTable!$M$2</f>
        <v>PointATempTables!AJ4:AJ22</v>
      </c>
      <c r="AK3" s="243" t="str">
        <f>"PointATempTables!AK4:AK"&amp;4+ProductTable!$M$2</f>
        <v>PointATempTables!AK4:AK22</v>
      </c>
      <c r="AL3" s="241"/>
      <c r="AM3" s="243" t="str">
        <f>"PointATempTables!AB4:AB"&amp;4+ProductTable!$M$2</f>
        <v>PointATempTables!AB4:AB22</v>
      </c>
      <c r="AN3" s="243" t="str">
        <f>"PointATempTables!AN4:AN"&amp;4+ProductTable!$M$2</f>
        <v>PointATempTables!AN4:AN22</v>
      </c>
      <c r="AO3" s="243" t="str">
        <f>"PointATempTables!AO4:AO"&amp;4+ProductTable!$M$2</f>
        <v>PointATempTables!AO4:AO22</v>
      </c>
      <c r="AP3" s="243" t="str">
        <f>"PointATempTables!AP4:AP"&amp;4+ProductTable!$M$2</f>
        <v>PointATempTables!AP4:AP22</v>
      </c>
      <c r="AQ3" s="243" t="str">
        <f>"PointATempTables!AQ4:AQ"&amp;4+ProductTable!AG2</f>
        <v>PointATempTables!AQ4:AQ22</v>
      </c>
      <c r="AR3" s="243" t="str">
        <f>"PointATempTables!AK4:AK"&amp;4+ProductTable!AG2</f>
        <v>PointATempTables!AK4:AK22</v>
      </c>
      <c r="AS3" s="241"/>
      <c r="AU3" s="238"/>
      <c r="AW3" s="538" t="str">
        <f>"PointATempTables!AW4:AW"&amp;4+ProductTable!$H$2</f>
        <v>PointATempTables!AW4:AW18</v>
      </c>
      <c r="AX3" s="538" t="str">
        <f>"PointATempTables!AX4:AX"&amp;4+ProductTable!$H$2</f>
        <v>PointATempTables!AX4:AX18</v>
      </c>
      <c r="AY3" s="538" t="str">
        <f>"PointATempTables!AY4:AY"&amp;4+ProductTable!$H$2</f>
        <v>PointATempTables!AY4:AY18</v>
      </c>
      <c r="AZ3" s="241"/>
      <c r="BA3" s="538" t="str">
        <f>"PointATempTables!BA4:BA"&amp;4+ProductTable!$H$2</f>
        <v>PointATempTables!BA4:BA18</v>
      </c>
      <c r="BB3" s="538" t="str">
        <f>"PointATempTables!BB4:BB"&amp;4+ProductTable!$H$2</f>
        <v>PointATempTables!BB4:BB18</v>
      </c>
      <c r="BC3" s="538" t="str">
        <f>"PointATempTables!BC4:BC"&amp;4+ProductTable!$H$2</f>
        <v>PointATempTables!BC4:BC18</v>
      </c>
      <c r="BD3" s="538" t="str">
        <f>"PointATempTables!BD4:BD"&amp;4+ProductTable!$H$2</f>
        <v>PointATempTables!BD4:BD18</v>
      </c>
      <c r="BF3" s="538" t="str">
        <f>"PointATempTables!BF4:BF"&amp;4+ProductTable!$H$2</f>
        <v>PointATempTables!BF4:BF18</v>
      </c>
      <c r="BH3" s="628" t="str">
        <f>"PointATempTables!BH4:BH"&amp;4+ProductTable!$AG$2</f>
        <v>PointATempTables!BH4:BH22</v>
      </c>
      <c r="BI3" s="628" t="str">
        <f>"PointATempTables!BI4:BI"&amp;4+ProductTable!AG2</f>
        <v>PointATempTables!BI4:BI22</v>
      </c>
      <c r="BJ3" s="628" t="str">
        <f>"PointATempTables!BJ4:BJ"&amp;4+ProductTable!AG2</f>
        <v>PointATempTables!BJ4:BJ22</v>
      </c>
      <c r="BK3" s="627"/>
      <c r="BL3" s="627"/>
    </row>
    <row r="4" spans="2:64" x14ac:dyDescent="0.25">
      <c r="B4" s="134">
        <f ca="1">MATCH(TRUE,INDIRECT(INDEX(INDIRECT(CT_APtoWLAN!A5),MATCH(SelectionTables!H4,INDIRECT(CT_APtoWLAN!G2),0),0)),0)</f>
        <v>13</v>
      </c>
      <c r="C4" s="134" t="str">
        <f ca="1">INDEX(INDIRECT(CT_APtoWLAN!$G$3),1,B4)</f>
        <v>AR9390</v>
      </c>
      <c r="D4" s="134" t="b">
        <f ca="1">IF(ISERROR(MATCH(C4,INDIRECT(ProductTable!$Y$4),0)),FALSE,TRUE)</f>
        <v>1</v>
      </c>
      <c r="E4" s="134">
        <f ca="1">MATCH(TRUE,INDIRECT($D$3),0)</f>
        <v>1</v>
      </c>
      <c r="F4" s="184" t="str">
        <f ca="1">IF(ISERROR(E4),"",INDEX(INDIRECT(C3),E4))</f>
        <v>AR9390</v>
      </c>
      <c r="H4" s="134">
        <f ca="1">MATCH(TRUE,INDIRECT(INDEX(INDIRECT(CT_APtoSTA!A5),MATCH(SelectionTables!H4,INDIRECT(CT_APtoSTA!G2),0),0)),0)</f>
        <v>1</v>
      </c>
      <c r="I4" s="247" t="str">
        <f ca="1">INDEX(INDIRECT(CT_APtoSTA!$G$3),1,H4)</f>
        <v>802.11b/g (2,4 GHz)</v>
      </c>
      <c r="J4" s="133">
        <f ca="1">MATCH(TRUE,INDIRECT(INDEX(INDIRECT(CT_STAtoWLAN!B4),0,MATCH(SelectionTables!N4,INDIRECT(CT_STAtoWLAN!G3),0))),0)</f>
        <v>2</v>
      </c>
      <c r="K4" s="247" t="str">
        <f ca="1">IF(ISERROR(J4),"",INDEX(INDIRECT(CT_STAtoWLAN!G2),J4))</f>
        <v>802.11a (5 GHz)</v>
      </c>
      <c r="L4" s="184" t="b">
        <f ca="1">IF(ISERROR(MATCH(I4,INDIRECT($K$3),0)),FALSE,TRUE)</f>
        <v>0</v>
      </c>
      <c r="M4" s="184">
        <f ca="1">MATCH(TRUE,INDIRECT($L$3),0)</f>
        <v>2</v>
      </c>
      <c r="N4" s="251" t="str">
        <f ca="1">IF(ISERROR(M4),"",INDEX(INDIRECT(I3),M4))</f>
        <v>802.11a (5 GHz)</v>
      </c>
      <c r="O4" s="184" t="b">
        <f ca="1">IF(ISERROR(MATCH(N4,INDIRECT(ProductTable!$AD$4),0)),FALSE,TRUE)</f>
        <v>1</v>
      </c>
      <c r="P4" s="184">
        <f ca="1">MATCH(TRUE,INDIRECT($O$3),0)</f>
        <v>1</v>
      </c>
      <c r="Q4" s="184" t="str">
        <f ca="1">IF(ISERROR(P4),"",INDEX(INDIRECT($N$3),SUM($P$4:$P4)))</f>
        <v>802.11a (5 GHz)</v>
      </c>
      <c r="S4" s="133">
        <f ca="1">MATCH(TRUE,INDIRECT(INDEX(INDIRECT(CT_STAtoANT!$A$5),MATCH(SelectionTables!$G$4,INDIRECT(CT_STAtoANT!$G$2),0),0)),0)</f>
        <v>1</v>
      </c>
      <c r="T4" s="184" t="str">
        <f ca="1">INDEX(INDIRECT(CT_STAtoANT!$G$3),1,$S$4)</f>
        <v>AirLancer O-9a</v>
      </c>
      <c r="U4" s="184" t="b">
        <f ca="1">IF(ISERROR(MATCH($T$4,INDIRECT(ProductTable!$J$4),0)),FALSE,TRUE)</f>
        <v>1</v>
      </c>
      <c r="V4" s="184">
        <f ca="1">MATCH(TRUE,INDIRECT($U$3),0)</f>
        <v>1</v>
      </c>
      <c r="W4" s="184" t="str">
        <f ca="1">IF(ISERROR($V$4),"",INDEX(INDIRECT($T$3),$V$4))</f>
        <v>AirLancer O-9a</v>
      </c>
      <c r="Y4" s="184">
        <f ca="1">MATCH(TRUE,INDIRECT(INDEX(INDIRECT(CT_APtoC1!A5),MATCH(SelectionTables!H4,INDIRECT(CT_APtoC1!G2),0),0)),0)</f>
        <v>1</v>
      </c>
      <c r="Z4" s="254" t="str">
        <f ca="1">INDEX(INDIRECT(CT_APtoC1!$G$3),1,SUM($Y$4:$Y4))</f>
        <v>AirLancer Cable NJ-NP 3m</v>
      </c>
      <c r="AA4" s="184">
        <f ca="1">MATCH(TRUE,INDIRECT(INDEX(INDIRECT(CT_C1toANT!$B$4),0,MATCH(SelectionTables!$J$4,INDIRECT(CT_C1toANT!$G$3),0))),0)</f>
        <v>1</v>
      </c>
      <c r="AB4" s="254" t="str">
        <f ca="1">IF(ISERROR(AA4),"",INDEX(INDIRECT(CT_C1toANT!$G$2),AA4))</f>
        <v>AirLancer Cable NJ-NP 3m</v>
      </c>
      <c r="AC4" s="184" t="b">
        <f ca="1">IF(ISERROR(MATCH(Z4,INDIRECT(AB$3),0)),FALSE,TRUE)</f>
        <v>1</v>
      </c>
      <c r="AD4" s="184">
        <f ca="1">MATCH(TRUE,INDIRECT(AC$3),0)</f>
        <v>1</v>
      </c>
      <c r="AE4" s="184" t="str">
        <f ca="1">INDEX(INDIRECT(Z$3),SUM(AD$4:AD4))</f>
        <v>AirLancer Cable NJ-NP 3m</v>
      </c>
      <c r="AF4" s="184" t="b">
        <f ca="1">IF(ISERROR(MATCH(AE4,INDIRECT(ProductTable!$O$4),0)),FALSE,TRUE)</f>
        <v>1</v>
      </c>
      <c r="AG4" s="184">
        <f ca="1">MATCH(TRUE,INDIRECT($AF$3),0)</f>
        <v>1</v>
      </c>
      <c r="AH4" s="184" t="str">
        <f ca="1">IF(ISERROR(AG4),"",INDEX(INDIRECT($AE$3),AG4))</f>
        <v>AirLancer Cable NJ-NP 3m</v>
      </c>
      <c r="AJ4" s="184">
        <f ca="1">MATCH(TRUE,INDIRECT(INDEX(INDIRECT(CT_SAtoC1!A5),MATCH(SelectionTables!K4,INDIRECT(CT_SAtoC1!G2),0),0)),0)</f>
        <v>1</v>
      </c>
      <c r="AK4" s="254" t="str">
        <f ca="1">INDEX(INDIRECT(CT_SAtoC1!$G$3),1,SUM($AJ$4:$AJ4))</f>
        <v>AirLancer Cable NJ-NP 3m</v>
      </c>
      <c r="AL4" s="184">
        <f ca="1">MATCH(TRUE,INDIRECT(INDEX(INDIRECT(CT_C1toANT!$B$4),0,MATCH(SelectionTables!$J$4,INDIRECT(CT_C1toANT!$G$3),0))),0)</f>
        <v>1</v>
      </c>
      <c r="AM4" s="254" t="str">
        <f ca="1">IF(ISERROR(AL4),"",INDEX(INDIRECT(CT_C1toANT!$G$2),AL4))</f>
        <v>AirLancer Cable NJ-NP 3m</v>
      </c>
      <c r="AN4" s="184" t="b">
        <f ca="1">IF(ISERROR(MATCH(AK4,INDIRECT(AM$3),0)),FALSE,TRUE)</f>
        <v>1</v>
      </c>
      <c r="AO4" s="184">
        <f ca="1">MATCH(TRUE,INDIRECT(AN$3),0)</f>
        <v>1</v>
      </c>
      <c r="AP4" s="184" t="str">
        <f ca="1">INDEX(INDIRECT(AK$3),SUM(AO$4:AO4))</f>
        <v>AirLancer Cable NJ-NP 3m</v>
      </c>
      <c r="AQ4" s="184" t="b">
        <f ca="1">IF(ISERROR(MATCH(AP4,INDIRECT(ProductTable!$AI$4),0)),FALSE,TRUE)</f>
        <v>1</v>
      </c>
      <c r="AR4" s="184">
        <f ca="1">MATCH(TRUE,INDIRECT($AQ$3),0)</f>
        <v>1</v>
      </c>
      <c r="AS4" s="184" t="str">
        <f ca="1">IF(ISERROR(AR4),"",INDEX(INDIRECT(AP$3),SUM(AR$4:AR4)))</f>
        <v>AirLancer Cable NJ-NP 3m</v>
      </c>
      <c r="AU4" s="184" t="str">
        <f ca="1">IF(OR(EXACT(SelectionTables!$I$4,ProductTable!$L$7),EXACT(SelectionTables!$I$4,"")),ProductTable!$Q$7,ProductTable!T7)</f>
        <v>No surge arrestor</v>
      </c>
      <c r="AW4" s="539">
        <f ca="1">MATCH(TRUE,INDIRECT(INDEX(INDIRECT(CT_STAtoANT!$A$5),MATCH(SelectionTables!$G$4,INDIRECT(CT_STAtoANT!$G$2),0),0)),0)</f>
        <v>1</v>
      </c>
      <c r="AX4" s="541" t="str">
        <f ca="1">INDEX(INDIRECT(CT_STAtoANT!$G$3),1,$AW4)</f>
        <v>AirLancer O-9a</v>
      </c>
      <c r="AY4" s="541" t="b">
        <f ca="1">IF(ISERROR(MATCH($AX$4,INDIRECT(ProductTable!$J$4),0)),FALSE,TRUE)</f>
        <v>1</v>
      </c>
      <c r="AZ4" s="541">
        <f ca="1">MATCH(TRUE,INDIRECT($AY$3),0)</f>
        <v>1</v>
      </c>
      <c r="BA4" s="541" t="str">
        <f ca="1">IF(ISERROR($AZ$4),"",INDEX(INDIRECT($AX$3),$AZ$4))</f>
        <v>AirLancer O-9a</v>
      </c>
      <c r="BB4" s="541">
        <f ca="1">MATCH(TRUE,INDIRECT(INDEX(INDIRECT(CT_APtoANT!$A$5),MATCH(SelectionTables!$H$4,INDIRECT(CT_APtoANT!$G$2),0),0)),0)</f>
        <v>1</v>
      </c>
      <c r="BC4" s="541" t="str">
        <f ca="1">INDEX(INDIRECT(CT_APtoANT!$G$3),1,$BB4)</f>
        <v>AirLancer O-9a</v>
      </c>
      <c r="BD4" s="541" t="b">
        <f ca="1">IF(ISERROR(MATCH(BA4,INDIRECT($BC$3),0)),FALSE,TRUE)</f>
        <v>1</v>
      </c>
      <c r="BE4" s="541">
        <f ca="1">MATCH(TRUE,INDIRECT($BD$3),0)</f>
        <v>1</v>
      </c>
      <c r="BF4" s="541" t="str">
        <f ca="1">IF(ISERROR($BE$4),"",INDEX(INDIRECT($BA$3),$BE$4))</f>
        <v>AirLancer O-9a</v>
      </c>
      <c r="BH4" s="541">
        <f ca="1">MATCH(TRUE,INDIRECT(INDEX(INDIRECT(CT_APtoC1!$A$5),MATCH(SelectionTables!$H$4,INDIRECT(CT_APtoC1!$G$2),0),0)),0)</f>
        <v>1</v>
      </c>
      <c r="BI4" s="541" t="str">
        <f ca="1">INDEX(INDIRECT(CT_APtoC1!$G$3),1,BH4)</f>
        <v>AirLancer Cable NJ-NP 3m</v>
      </c>
      <c r="BJ4" s="541" t="b">
        <f ca="1">IF(ISERROR(MATCH(BI4,INDIRECT(ProductTable!$AI$4),0)),FALSE,TRUE)</f>
        <v>1</v>
      </c>
      <c r="BK4" s="541">
        <f ca="1">MATCH(TRUE,INDIRECT($BJ$3),0)</f>
        <v>1</v>
      </c>
      <c r="BL4" s="541" t="str">
        <f ca="1">IF(ISERROR(BK4),"",INDEX(INDIRECT(BI3),BK4))</f>
        <v>AirLancer Cable NJ-NP 3m</v>
      </c>
    </row>
    <row r="5" spans="2:64" x14ac:dyDescent="0.25">
      <c r="B5" s="134">
        <f ca="1">MATCH(TRUE,OFFSET(INDIRECT(INDEX(INDIRECT(CT_APtoWLAN!$A$5),MATCH(SelectionTables!$H$4,INDIRECT(CT_APtoWLAN!$G$2),0),0)),0,SUM($B$4:$B4),1,ProductTable!$W$2-SUM($B$4:$B4)),0)</f>
        <v>6</v>
      </c>
      <c r="C5" s="134" t="str">
        <f ca="1">INDEX(INDIRECT(CT_APtoWLAN!$G$3),1,SUM($B$4:$B5))</f>
        <v>QCA9984</v>
      </c>
      <c r="D5" s="134" t="b">
        <f ca="1">IF(ISERROR(MATCH(C5,INDIRECT(ProductTable!$Y$4),0)),FALSE,TRUE)</f>
        <v>1</v>
      </c>
      <c r="E5" s="134">
        <f ca="1">MATCH(TRUE,OFFSET(INDIRECT($D$3),SUM($E$4:$E4),0,ProductTable!$W$2-SUM($E$4:$E4),1),0)</f>
        <v>1</v>
      </c>
      <c r="F5" s="184" t="str">
        <f ca="1">IF(ISERROR($E5),"",INDEX(INDIRECT($C$3),SUM($E$4:$E5)))</f>
        <v>QCA9984</v>
      </c>
      <c r="H5" s="134">
        <f ca="1">MATCH(TRUE,OFFSET(INDIRECT(INDEX(INDIRECT(CT_APtoSTA!$A$5),MATCH(SelectionTables!$H$4,INDIRECT(CT_APtoSTA!$G$2),0),0)),0,SUM($H$4:$H4),1,ProductTable!$AB$2-SUM($H$4:$H4)),0)</f>
        <v>1</v>
      </c>
      <c r="I5" s="248" t="str">
        <f ca="1">INDEX(INDIRECT(CT_APtoSTA!$G$3),1,SUM($H$4:$H5))</f>
        <v>802.11a (5 GHz)</v>
      </c>
      <c r="J5" s="134">
        <f ca="1">MATCH(TRUE,OFFSET(INDIRECT(INDEX(INDIRECT(CT_STAtoWLAN!$B$4),0,MATCH(SelectionTables!$N$4,INDIRECT(CT_STAtoWLAN!$G$3),0))),SUM($J$4:$J4),0,ProductTable!$AB$2-SUM($J$4:$J4)),0)</f>
        <v>2</v>
      </c>
      <c r="K5" s="248" t="str">
        <f ca="1">IF(ISERROR($J5),"",INDEX(INDIRECT(CT_STAtoWLAN!$G$2),SUM($J$4:$J5)))</f>
        <v>802.11a/n (5 GHz)</v>
      </c>
      <c r="L5" s="184" t="b">
        <f ca="1">IF(ISERROR(MATCH(I5,INDIRECT($K$3),0)),FALSE,TRUE)</f>
        <v>1</v>
      </c>
      <c r="M5" s="184">
        <f ca="1">MATCH(TRUE,OFFSET(INDIRECT($L$3),SUM($M$4:$M4),0),0)</f>
        <v>2</v>
      </c>
      <c r="N5" s="251" t="str">
        <f ca="1">IF(ISERROR(M5),"",INDEX(INDIRECT($I$3),SUM($M$4:$M5)))</f>
        <v>802.11a/n (5 GHz)</v>
      </c>
      <c r="O5" s="184" t="b">
        <f ca="1">IF(N5="",FALSE,IF(ISERROR(MATCH(N5,INDIRECT(ProductTable!$AD$4),0)),FALSE,TRUE))</f>
        <v>1</v>
      </c>
      <c r="P5" s="184">
        <f ca="1">MATCH(TRUE,OFFSET(INDIRECT($O$3),SUM($P$4:$P4),0),0)</f>
        <v>1</v>
      </c>
      <c r="Q5" s="184" t="str">
        <f ca="1">IF(ISERROR(P5),"",INDEX(INDIRECT($N$3),SUM($P$4:$P5)))</f>
        <v>802.11a/n (5 GHz)</v>
      </c>
      <c r="S5" s="134">
        <f ca="1">MATCH(TRUE,OFFSET(INDIRECT(INDEX(INDIRECT(CT_STAtoANT!$A$5),MATCH(SelectionTables!$G$4,INDIRECT(CT_STAtoANT!$G$2),0),0)),0,SUM($S$4:$S4),1,ProductTable!$H$2-SUM($S$4:$S4)),0)</f>
        <v>1</v>
      </c>
      <c r="T5" s="184" t="str">
        <f ca="1">INDEX(INDIRECT(CT_STAtoANT!$G$3),1,SUM($S$4:$S5))</f>
        <v>AirLancer ON-D9a</v>
      </c>
      <c r="U5" s="184" t="b">
        <f ca="1">IF(ISERROR(MATCH(T5,INDIRECT(ProductTable!$J$4),0)),FALSE,TRUE)</f>
        <v>1</v>
      </c>
      <c r="V5" s="184">
        <f ca="1">MATCH(TRUE,OFFSET(INDIRECT($U$3),SUM($V$4:$V4),0,ProductTable!$H$2-SUM($V$4:$V4),1),0)</f>
        <v>1</v>
      </c>
      <c r="W5" s="184" t="str">
        <f ca="1">IF(ISERROR($V5),"",INDEX(INDIRECT($T$3),SUM($V$4:$V5)))</f>
        <v>AirLancer ON-D9a</v>
      </c>
      <c r="Y5" s="184">
        <f ca="1">MATCH(TRUE,OFFSET(INDIRECT(INDEX(INDIRECT(CT_APtoC1!$A$5),MATCH(SelectionTables!$H$4,INDIRECT(CT_APtoC1!$G$2),0),0)),0,SUM($Y$4:$Y4),1,ProductTable!$C$2-SUM($Y$4:$Y4)),0)</f>
        <v>1</v>
      </c>
      <c r="Z5" s="251" t="str">
        <f ca="1">INDEX(INDIRECT(CT_APtoC1!$G$3),1,SUM($Y$4:$Y5))</f>
        <v>AirLancer Cable NJ-NP 6m</v>
      </c>
      <c r="AA5" s="184">
        <f ca="1">MATCH(TRUE,OFFSET(INDIRECT(INDEX(INDIRECT(CT_C1toANT!$B$4),0,MATCH(SelectionTables!$J$4,INDIRECT(CT_C1toANT!$G$3),0))),SUM(AA$4:AA4),0,ProductTable!$M$2-SUM(AA$4:AA4)),0)</f>
        <v>1</v>
      </c>
      <c r="AB5" s="251" t="str">
        <f ca="1">IF(ISERROR(AA5),"",INDEX(INDIRECT(CT_C1toANT!$G$2),SUM(AA$4:AA5)))</f>
        <v>AirLancer Cable NJ-NP 6m</v>
      </c>
      <c r="AC5" s="184" t="b">
        <f t="shared" ref="AC5:AC45" ca="1" si="0">IF(ISERROR(MATCH($Z5,INDIRECT($AB$3),0)),FALSE,TRUE)</f>
        <v>1</v>
      </c>
      <c r="AD5" s="184">
        <f ca="1">MATCH(TRUE,OFFSET(INDIRECT(AC$3),SUM(AD$4:AD4),0),0)</f>
        <v>1</v>
      </c>
      <c r="AE5" s="184" t="str">
        <f ca="1">INDEX(INDIRECT($Z$3),SUM($AD$4:$AD5))</f>
        <v>AirLancer Cable NJ-NP 6m</v>
      </c>
      <c r="AF5" s="184" t="b">
        <f ca="1">IF(ISERROR(MATCH(AE5,INDIRECT(ProductTable!$O$4),0)),FALSE,TRUE)</f>
        <v>1</v>
      </c>
      <c r="AG5" s="184">
        <f ca="1">MATCH(TRUE,OFFSET(INDIRECT($AF$3),SUM($AG$4:$AG4),0),0)</f>
        <v>1</v>
      </c>
      <c r="AH5" s="184" t="str">
        <f ca="1">IF(ISERROR(AG5),"",INDEX(INDIRECT($AE$3),SUM($AG$4:$AG5)))</f>
        <v>AirLancer Cable NJ-NP 6m</v>
      </c>
      <c r="AJ5" s="184">
        <f ca="1">MATCH(TRUE,OFFSET(INDIRECT(INDEX(INDIRECT(CT_SAtoC1!$A$5),MATCH(SelectionTables!$K$4,INDIRECT(CT_SAtoC1!$G$2),0),0)),0,SUM($AJ$4:$AJ4),1,ProductTable!$C$2-SUM($AJ$4:$AJ4)),0)</f>
        <v>1</v>
      </c>
      <c r="AK5" s="251" t="str">
        <f ca="1">INDEX(INDIRECT(CT_SAtoC1!$G$3),1,SUM($AJ$4:$AJ5))</f>
        <v>AirLancer Cable NJ-NP 6m</v>
      </c>
      <c r="AL5" s="184">
        <f ca="1">MATCH(TRUE,OFFSET(INDIRECT(INDEX(INDIRECT(CT_C1toANT!$B$4),0,MATCH(SelectionTables!$J$4,INDIRECT(CT_C1toANT!$G$3),0))),SUM(AL$4:AL4),0,ProductTable!$M$2-SUM(AL$4:AL4)),0)</f>
        <v>1</v>
      </c>
      <c r="AM5" s="251" t="str">
        <f ca="1">IF(ISERROR(AL5),"",INDEX(INDIRECT(CT_C1toANT!$G$2),SUM(AL$4:AL5)))</f>
        <v>AirLancer Cable NJ-NP 6m</v>
      </c>
      <c r="AN5" s="184" t="b">
        <f t="shared" ref="AN5:AN45" ca="1" si="1">IF(ISERROR(MATCH(AK5,INDIRECT(AM$3),0)),FALSE,TRUE)</f>
        <v>1</v>
      </c>
      <c r="AO5" s="184">
        <f ca="1">MATCH(TRUE,OFFSET(INDIRECT(AN$3),SUM(AO$4:AO4),0),0)</f>
        <v>1</v>
      </c>
      <c r="AP5" s="184" t="str">
        <f ca="1">INDEX(INDIRECT(AK$3),SUM(AO$4:AO5))</f>
        <v>AirLancer Cable NJ-NP 6m</v>
      </c>
      <c r="AQ5" s="184" t="b">
        <f ca="1">IF(ISERROR(MATCH(AP5,INDIRECT(ProductTable!$AI$4),0)),FALSE,TRUE)</f>
        <v>1</v>
      </c>
      <c r="AR5" s="184">
        <f ca="1">MATCH(TRUE,OFFSET(INDIRECT($AQ$3),SUM($AR$4:$AR4),0),0)</f>
        <v>1</v>
      </c>
      <c r="AS5" s="184" t="str">
        <f ca="1">IF(ISERROR(AR5),"",INDEX(INDIRECT(AP$3),SUM(AR$4:AR5)))</f>
        <v>AirLancer Cable NJ-NP 6m</v>
      </c>
      <c r="AU5" s="184" t="str">
        <f ca="1">IF(OR(EXACT(SelectionTables!$I$4,ProductTable!$L$7),EXACT(SelectionTables!$I$4,"")),"",ProductTable!T8)</f>
        <v>AirLancer SN-ANT</v>
      </c>
      <c r="AW5" s="540">
        <f ca="1">MATCH(TRUE,OFFSET(INDIRECT(INDEX(INDIRECT(CT_STAtoANT!$A$5),MATCH(SelectionTables!$G$4,INDIRECT(CT_STAtoANT!$G$2),0),0)),0,SUM($AW$4:$AW4),1,ProductTable!$H$2-SUM($AW$4:$AW4)),0)</f>
        <v>1</v>
      </c>
      <c r="AX5" s="541" t="str">
        <f ca="1">INDEX(INDIRECT(CT_STAtoANT!$G$3),1,SUM($AW$4:$AW5))</f>
        <v>AirLancer ON-D9a</v>
      </c>
      <c r="AY5" s="541" t="b">
        <f ca="1">IF(ISERROR(MATCH(AX5,INDIRECT(ProductTable!$J$4),0)),FALSE,TRUE)</f>
        <v>1</v>
      </c>
      <c r="AZ5" s="541">
        <f ca="1">MATCH(TRUE,OFFSET(INDIRECT($AY$3),SUM($AZ$4:$AZ4),0,ProductTable!$H$2-SUM($AZ$4:$AZ4),1),0)</f>
        <v>1</v>
      </c>
      <c r="BA5" s="541" t="str">
        <f ca="1">IF(ISERROR($AZ5),"",INDEX(INDIRECT($AX$3),SUM($AZ$4:$AZ5)))</f>
        <v>AirLancer ON-D9a</v>
      </c>
      <c r="BB5" s="541">
        <f ca="1">MATCH(TRUE,OFFSET(INDIRECT(INDEX(INDIRECT(CT_APtoANT!$A$5),MATCH(SelectionTables!$H$4,INDIRECT(CT_APtoANT!$G$2),0),0)),0,SUM($BB$4:$BB4),1,ProductTable!$H$2-SUM($BB$4:$BB4)),0)</f>
        <v>1</v>
      </c>
      <c r="BC5" s="541" t="str">
        <f ca="1">INDEX(INDIRECT(CT_APtoANT!$G$3),1,SUM($BB$4:$BB5))</f>
        <v>AirLancer ON-D9a</v>
      </c>
      <c r="BD5" s="541" t="b">
        <f t="shared" ref="BD5:BD45" ca="1" si="2">IF(ISERROR(MATCH(BA5,INDIRECT($BC$3),0)),FALSE,TRUE)</f>
        <v>1</v>
      </c>
      <c r="BE5" s="541">
        <f ca="1">MATCH(TRUE,OFFSET(INDIRECT($BD$3),SUM($BE$4:$BE4),0,ProductTable!$H$2-SUM($BE$4:$BE4),1),0)</f>
        <v>1</v>
      </c>
      <c r="BF5" s="541" t="str">
        <f ca="1">IF(ISERROR($BE5),"",INDEX(INDIRECT($BA$3),SUM($BE$4:$BE5)))</f>
        <v>AirLancer ON-D9a</v>
      </c>
      <c r="BH5" s="541">
        <f ca="1">MATCH(TRUE,OFFSET(INDIRECT(INDEX(INDIRECT(CT_APtoC1!$A$5),MATCH(SelectionTables!$H$4,INDIRECT(CT_APtoC1!$G$2),0),0)),0,SUM($BH$4:$BH4),1,ProductTable!$AG$2-SUM($BH$4:$BH4)),0)</f>
        <v>1</v>
      </c>
      <c r="BI5" s="541" t="str">
        <f ca="1">INDEX(INDIRECT(CT_APtoC1!$G$3),1,SUM($BH$4:$BH5))</f>
        <v>AirLancer Cable NJ-NP 6m</v>
      </c>
      <c r="BJ5" s="541" t="b">
        <f ca="1">IF(ISERROR(MATCH(BI5,INDIRECT(ProductTable!$AI$4),0)),FALSE,TRUE)</f>
        <v>1</v>
      </c>
      <c r="BK5" s="541">
        <f ca="1">MATCH(TRUE,OFFSET(INDIRECT($BJ$3),SUM($BK$4:$BK4),0,ProductTable!$AG$2-SUM($BK$4:$BK4),1),0)</f>
        <v>1</v>
      </c>
      <c r="BL5" s="541" t="str">
        <f ca="1">IF(ISERROR($BK5),"",INDEX(INDIRECT($BI$3),SUM($BK$4:$BK5)))</f>
        <v>AirLancer Cable NJ-NP 6m</v>
      </c>
    </row>
    <row r="6" spans="2:64" x14ac:dyDescent="0.25">
      <c r="B6" s="134" t="e">
        <f ca="1">MATCH(TRUE,OFFSET(INDIRECT(INDEX(INDIRECT(CT_APtoWLAN!$A$5),MATCH(SelectionTables!$H$4,INDIRECT(CT_APtoWLAN!$G$2),0),0)),0,SUM($B$4:$B5),1,ProductTable!$W$2-SUM($B$4:$B5)),0)</f>
        <v>#N/A</v>
      </c>
      <c r="C6" s="134" t="e">
        <f ca="1">INDEX(INDIRECT(CT_APtoWLAN!$G$3),1,SUM($B$4:$B6))</f>
        <v>#N/A</v>
      </c>
      <c r="D6" s="134" t="b">
        <f ca="1">IF(ISERROR(MATCH(C6,INDIRECT(ProductTable!$Y$4),0)),FALSE,TRUE)</f>
        <v>0</v>
      </c>
      <c r="E6" s="134" t="e">
        <f ca="1">MATCH(TRUE,OFFSET(INDIRECT($D$3),SUM($E$4:$E5),0,ProductTable!$W$2-SUM($E$4:$E5),1),0)</f>
        <v>#N/A</v>
      </c>
      <c r="F6" s="184" t="str">
        <f ca="1">IF(ISERROR($E6),"",INDEX(INDIRECT($C$3),SUM($E$4:$E6)))</f>
        <v/>
      </c>
      <c r="H6" s="134">
        <f ca="1">MATCH(TRUE,OFFSET(INDIRECT(INDEX(INDIRECT(CT_APtoSTA!$A$5),MATCH(SelectionTables!$H$4,INDIRECT(CT_APtoSTA!$G$2),0),0)),0,SUM($H$4:$H5),1,ProductTable!$AB$2-SUM($H$4:$H5)),0)</f>
        <v>1</v>
      </c>
      <c r="I6" s="248" t="str">
        <f ca="1">INDEX(INDIRECT(CT_APtoSTA!$G$3),1,SUM($H$4:$H6))</f>
        <v>802.11g/n (2,4 GHz)</v>
      </c>
      <c r="J6" s="134">
        <f ca="1">MATCH(TRUE,OFFSET(INDIRECT(INDEX(INDIRECT(CT_STAtoWLAN!$B$4),0,MATCH(SelectionTables!$N$4,INDIRECT(CT_STAtoWLAN!$G$3),0))),SUM($J$4:$J5),0,ProductTable!$AB$2-SUM($J$4:$J5)),0)</f>
        <v>3</v>
      </c>
      <c r="K6" s="248" t="str">
        <f ca="1">IF(ISERROR($J6),"",INDEX(INDIRECT(CT_STAtoWLAN!$G$2),SUM($J$4:$J6)))</f>
        <v>802.11ac (5 GHz)</v>
      </c>
      <c r="L6" s="184" t="b">
        <f ca="1">IF(ISERROR(MATCH(I6,INDIRECT($K$3),0)),FALSE,TRUE)</f>
        <v>0</v>
      </c>
      <c r="M6" s="184">
        <f ca="1">MATCH(TRUE,OFFSET(INDIRECT($L$3),SUM($M$4:$M5),0),0)</f>
        <v>1</v>
      </c>
      <c r="N6" s="251" t="str">
        <f ca="1">IF(ISERROR(M6),"",INDEX(INDIRECT($I$3),SUM($M$4:$M6)))</f>
        <v>802.11ac (5 GHz)</v>
      </c>
      <c r="O6" s="184" t="b">
        <f ca="1">IF(N6="",FALSE,IF(ISERROR(MATCH(N6,INDIRECT(ProductTable!$AD$4),0)),FALSE,TRUE))</f>
        <v>1</v>
      </c>
      <c r="P6" s="184">
        <f ca="1">MATCH(TRUE,OFFSET(INDIRECT($O$3),SUM($P$4:$P5),0),0)</f>
        <v>1</v>
      </c>
      <c r="Q6" s="184" t="str">
        <f ca="1">IF(ISERROR(P6),"",INDEX(INDIRECT($N$3),SUM($P$4:$P6)))</f>
        <v>802.11ac (5 GHz)</v>
      </c>
      <c r="S6" s="134">
        <f ca="1">MATCH(TRUE,OFFSET(INDIRECT(INDEX(INDIRECT(CT_STAtoANT!$A$5),MATCH(SelectionTables!$G$4,INDIRECT(CT_STAtoANT!$G$2),0),0)),0,SUM($S$4:$S5),1,ProductTable!$H$2-SUM($S$4:$S5)),0)</f>
        <v>1</v>
      </c>
      <c r="T6" s="184" t="str">
        <f ca="1">INDEX(INDIRECT(CT_STAtoANT!$G$3),1,SUM($S$4:$S6))</f>
        <v>AirLancer ON-360ag</v>
      </c>
      <c r="U6" s="184" t="b">
        <f ca="1">IF(ISERROR(MATCH(T6,INDIRECT(ProductTable!$J$4),0)),FALSE,TRUE)</f>
        <v>1</v>
      </c>
      <c r="V6" s="184">
        <f ca="1">MATCH(TRUE,OFFSET(INDIRECT($U$3),SUM($V$4:$V5),0,ProductTable!$H$2-SUM($V$4:$V5),1),0)</f>
        <v>1</v>
      </c>
      <c r="W6" s="184" t="str">
        <f ca="1">IF(ISERROR($V6),"",INDEX(INDIRECT($T$3),SUM($V$4:$V6)))</f>
        <v>AirLancer ON-360ag</v>
      </c>
      <c r="Y6" s="184">
        <f ca="1">MATCH(TRUE,OFFSET(INDIRECT(INDEX(INDIRECT(CT_APtoC1!$A$5),MATCH(SelectionTables!$H$4,INDIRECT(CT_APtoC1!$G$2),0),0)),0,SUM($Y$4:$Y5),1,ProductTable!$C$2-SUM($Y$4:$Y5)),0)</f>
        <v>1</v>
      </c>
      <c r="Z6" s="251" t="str">
        <f ca="1">INDEX(INDIRECT(CT_APtoC1!$G$3),1,SUM($Y$4:$Y6))</f>
        <v>AirLancer Cable NJ-NP 9m</v>
      </c>
      <c r="AA6" s="184">
        <f ca="1">MATCH(TRUE,OFFSET(INDIRECT(INDEX(INDIRECT(CT_C1toANT!$B$4),0,MATCH(SelectionTables!$J$4,INDIRECT(CT_C1toANT!$G$3),0))),SUM(AA$4:AA5),0,ProductTable!$M$2-SUM(AA$4:AA5)),0)</f>
        <v>1</v>
      </c>
      <c r="AB6" s="251" t="str">
        <f ca="1">IF(ISERROR(AA6),"",INDEX(INDIRECT(CT_C1toANT!$G$2),SUM(AA$4:AA6)))</f>
        <v>AirLancer Cable NJ-NP 9m</v>
      </c>
      <c r="AC6" s="184" t="b">
        <f t="shared" ca="1" si="0"/>
        <v>1</v>
      </c>
      <c r="AD6" s="184">
        <f ca="1">MATCH(TRUE,OFFSET(INDIRECT($AC$3),SUM($AD$4:$AD5),0),0)</f>
        <v>1</v>
      </c>
      <c r="AE6" s="184" t="str">
        <f ca="1">INDEX(INDIRECT($Z$3),SUM($AD$4:$AD6))</f>
        <v>AirLancer Cable NJ-NP 9m</v>
      </c>
      <c r="AF6" s="184" t="b">
        <f ca="1">IF(ISERROR(MATCH(AE6,INDIRECT(ProductTable!$O$4),0)),FALSE,TRUE)</f>
        <v>1</v>
      </c>
      <c r="AG6" s="184">
        <f ca="1">MATCH(TRUE,OFFSET(INDIRECT($AF$3),SUM($AG$4:$AG5),0),0)</f>
        <v>1</v>
      </c>
      <c r="AH6" s="184" t="str">
        <f ca="1">IF(ISERROR(AG6),"",INDEX(INDIRECT($AE$3),SUM($AG$4:$AG6)))</f>
        <v>AirLancer Cable NJ-NP 9m</v>
      </c>
      <c r="AJ6" s="184">
        <f ca="1">MATCH(TRUE,OFFSET(INDIRECT(INDEX(INDIRECT(CT_SAtoC1!$A$5),MATCH(SelectionTables!$K$4,INDIRECT(CT_SAtoC1!$G$2),0),0)),0,SUM($AJ$4:$AJ5),1,ProductTable!$C$2-SUM($AJ$4:$AJ5)),0)</f>
        <v>1</v>
      </c>
      <c r="AK6" s="251" t="str">
        <f ca="1">INDEX(INDIRECT(CT_SAtoC1!$G$3),1,SUM($AJ$4:$AJ6))</f>
        <v>AirLancer Cable NJ-NP 9m</v>
      </c>
      <c r="AL6" s="184">
        <f ca="1">MATCH(TRUE,OFFSET(INDIRECT(INDEX(INDIRECT(CT_C1toANT!$B$4),0,MATCH(SelectionTables!$J$4,INDIRECT(CT_C1toANT!$G$3),0))),SUM(AL$4:AL5),0,ProductTable!$M$2-SUM(AL$4:AL5)),0)</f>
        <v>1</v>
      </c>
      <c r="AM6" s="251" t="str">
        <f ca="1">IF(ISERROR(AL6),"",INDEX(INDIRECT(CT_C1toANT!$G$2),SUM(AL$4:AL6)))</f>
        <v>AirLancer Cable NJ-NP 9m</v>
      </c>
      <c r="AN6" s="184" t="b">
        <f t="shared" ca="1" si="1"/>
        <v>1</v>
      </c>
      <c r="AO6" s="184">
        <f ca="1">MATCH(TRUE,OFFSET(INDIRECT(AN$3),SUM(AO$4:AO5),0),0)</f>
        <v>1</v>
      </c>
      <c r="AP6" s="184" t="str">
        <f ca="1">INDEX(INDIRECT(AK$3),SUM(AO$4:AO6))</f>
        <v>AirLancer Cable NJ-NP 9m</v>
      </c>
      <c r="AQ6" s="184" t="b">
        <f ca="1">IF(ISERROR(MATCH(AP6,INDIRECT(ProductTable!$AI$4),0)),FALSE,TRUE)</f>
        <v>1</v>
      </c>
      <c r="AR6" s="184">
        <f ca="1">MATCH(TRUE,OFFSET(INDIRECT($AQ$3),SUM($AR$4:$AR5),0),0)</f>
        <v>1</v>
      </c>
      <c r="AS6" s="184" t="str">
        <f ca="1">IF(ISERROR(AR6),"",INDEX(INDIRECT(AP$3),SUM(AR$4:AR6)))</f>
        <v>AirLancer Cable NJ-NP 9m</v>
      </c>
      <c r="AU6" s="184" t="str">
        <f ca="1">IF(OR(EXACT(SelectionTables!$I$4,ProductTable!$L$7),EXACT(SelectionTables!$I$4,"")),"",ProductTable!T9)</f>
        <v/>
      </c>
      <c r="AW6" s="540">
        <f ca="1">MATCH(TRUE,OFFSET(INDIRECT(INDEX(INDIRECT(CT_STAtoANT!$A$5),MATCH(SelectionTables!$G$4,INDIRECT(CT_STAtoANT!$G$2),0),0)),0,SUM($AW$4:$AW5),1,ProductTable!$H$2-SUM($AW$4:$AW5)),0)</f>
        <v>1</v>
      </c>
      <c r="AX6" s="541" t="str">
        <f ca="1">INDEX(INDIRECT(CT_STAtoANT!$G$3),1,SUM($AW$4:$AW6))</f>
        <v>AirLancer ON-360ag</v>
      </c>
      <c r="AY6" s="541" t="b">
        <f ca="1">IF(ISERROR(MATCH(AX6,INDIRECT(ProductTable!$J$4),0)),FALSE,TRUE)</f>
        <v>1</v>
      </c>
      <c r="AZ6" s="541">
        <f ca="1">MATCH(TRUE,OFFSET(INDIRECT($AY$3),SUM($AZ$4:$AZ5),0,ProductTable!$H$2-SUM($AZ$4:$AZ5),1),0)</f>
        <v>1</v>
      </c>
      <c r="BA6" s="541" t="str">
        <f ca="1">IF(ISERROR($AZ6),"",INDEX(INDIRECT($AX$3),SUM($AZ$4:$AZ6)))</f>
        <v>AirLancer ON-360ag</v>
      </c>
      <c r="BB6" s="541">
        <f ca="1">MATCH(TRUE,OFFSET(INDIRECT(INDEX(INDIRECT(CT_APtoANT!$A$5),MATCH(SelectionTables!$H$4,INDIRECT(CT_APtoANT!$G$2),0),0)),0,SUM($BB$4:$BB5),1,ProductTable!$H$2-SUM($BB$4:$BB5)),0)</f>
        <v>1</v>
      </c>
      <c r="BC6" s="541" t="str">
        <f ca="1">INDEX(INDIRECT(CT_APtoANT!$G$3),1,SUM($BB$4:$BB6))</f>
        <v>AirLancer ON-360ag</v>
      </c>
      <c r="BD6" s="541" t="b">
        <f t="shared" ca="1" si="2"/>
        <v>1</v>
      </c>
      <c r="BE6" s="541">
        <f ca="1">MATCH(TRUE,OFFSET(INDIRECT($BD$3),SUM($BE$4:$BE5),0,ProductTable!$H$2-SUM($BE$4:$BE5),1),0)</f>
        <v>1</v>
      </c>
      <c r="BF6" s="541" t="str">
        <f ca="1">IF(ISERROR($BE6),"",INDEX(INDIRECT($BA$3),SUM($BE$4:$BE6)))</f>
        <v>AirLancer ON-360ag</v>
      </c>
      <c r="BH6" s="541">
        <f ca="1">MATCH(TRUE,OFFSET(INDIRECT(INDEX(INDIRECT(CT_APtoC1!$A$5),MATCH(SelectionTables!$H$4,INDIRECT(CT_APtoC1!$G$2),0),0)),0,SUM($BH$4:$BH5),1,ProductTable!$AG$2-SUM($BH$4:$BH5)),0)</f>
        <v>1</v>
      </c>
      <c r="BI6" s="541" t="str">
        <f ca="1">INDEX(INDIRECT(CT_APtoC1!$G$3),1,SUM($BH$4:$BH6))</f>
        <v>AirLancer Cable NJ-NP 9m</v>
      </c>
      <c r="BJ6" s="541" t="b">
        <f ca="1">IF(ISERROR(MATCH(BI6,INDIRECT(ProductTable!$AI$4),0)),FALSE,TRUE)</f>
        <v>1</v>
      </c>
      <c r="BK6" s="541">
        <f ca="1">MATCH(TRUE,OFFSET(INDIRECT($BJ$3),SUM($BK$4:$BK5),0,ProductTable!$AG$2-SUM($BK$4:$BK5),1),0)</f>
        <v>1</v>
      </c>
      <c r="BL6" s="541" t="str">
        <f ca="1">IF(ISERROR($BK6),"",INDEX(INDIRECT($BI$3),SUM($BK$4:$BK6)))</f>
        <v>AirLancer Cable NJ-NP 9m</v>
      </c>
    </row>
    <row r="7" spans="2:64" x14ac:dyDescent="0.25">
      <c r="B7" s="134" t="e">
        <f ca="1">MATCH(TRUE,OFFSET(INDIRECT(INDEX(INDIRECT(CT_APtoWLAN!$A$5),MATCH(SelectionTables!$H$4,INDIRECT(CT_APtoWLAN!$G$2),0),0)),0,SUM($B$4:$B6),1,ProductTable!$W$2-SUM($B$4:$B6)),0)</f>
        <v>#N/A</v>
      </c>
      <c r="C7" s="134" t="e">
        <f ca="1">INDEX(INDIRECT(CT_APtoWLAN!$G$3),1,SUM($B$4:$B7))</f>
        <v>#N/A</v>
      </c>
      <c r="D7" s="134" t="b">
        <f ca="1">IF(ISERROR(MATCH(C7,INDIRECT(ProductTable!$Y$4),0)),FALSE,TRUE)</f>
        <v>0</v>
      </c>
      <c r="E7" s="134" t="e">
        <f ca="1">MATCH(TRUE,OFFSET(INDIRECT($D$3),SUM($E$4:$E6),0,ProductTable!$W$2-SUM($E$4:$E6),1),0)</f>
        <v>#N/A</v>
      </c>
      <c r="F7" s="184" t="str">
        <f ca="1">IF(ISERROR($E7),"",INDEX(INDIRECT($C$3),SUM($E$4:$E7)))</f>
        <v/>
      </c>
      <c r="H7" s="134">
        <f ca="1">MATCH(TRUE,OFFSET(INDIRECT(INDEX(INDIRECT(CT_APtoSTA!$A$5),MATCH(SelectionTables!$H$4,INDIRECT(CT_APtoSTA!$G$2),0),0)),0,SUM($H$4:$H6),1,ProductTable!$AB$2-SUM($H$4:$H6)),0)</f>
        <v>1</v>
      </c>
      <c r="I7" s="248" t="str">
        <f ca="1">INDEX(INDIRECT(CT_APtoSTA!$G$3),1,SUM($H$4:$H7))</f>
        <v>802.11a/n (5 GHz)</v>
      </c>
      <c r="J7" s="134" t="e">
        <f ca="1">MATCH(TRUE,OFFSET(INDIRECT(INDEX(INDIRECT(CT_STAtoWLAN!$B$4),0,MATCH(SelectionTables!$N$4,INDIRECT(CT_STAtoWLAN!$G$3),0))),SUM($J$4:$J6),0,ProductTable!$AB$2-SUM($J$4:$J6)),0)</f>
        <v>#REF!</v>
      </c>
      <c r="K7" s="248" t="str">
        <f ca="1">IF(ISERROR($J7),"",INDEX(INDIRECT(CT_STAtoWLAN!$G$2),SUM($J$4:$J7)))</f>
        <v/>
      </c>
      <c r="L7" s="184" t="b">
        <f ca="1">IF(ISERROR(MATCH(I7,INDIRECT($K$3),0)),FALSE,TRUE)</f>
        <v>1</v>
      </c>
      <c r="M7" s="184" t="e">
        <f ca="1">MATCH(TRUE,OFFSET(INDIRECT($L$3),SUM($M$4:$M6),0),0)</f>
        <v>#N/A</v>
      </c>
      <c r="N7" s="251" t="str">
        <f ca="1">IF(ISERROR(M7),"",INDEX(INDIRECT($I$3),SUM($M$4:$M7)))</f>
        <v/>
      </c>
      <c r="O7" s="184" t="b">
        <f ca="1">IF(N7="",FALSE,IF(ISERROR(MATCH(N7,INDIRECT(ProductTable!$AD$4),0)),FALSE,TRUE))</f>
        <v>0</v>
      </c>
      <c r="P7" s="184" t="e">
        <f ca="1">MATCH(TRUE,OFFSET(INDIRECT($O$3),SUM($P$4:$P6),0),0)</f>
        <v>#N/A</v>
      </c>
      <c r="Q7" s="184" t="str">
        <f ca="1">IF(ISERROR(P7),"",INDEX(INDIRECT($N$3),SUM($P$4:$P7)))</f>
        <v/>
      </c>
      <c r="S7" s="134">
        <f ca="1">MATCH(TRUE,OFFSET(INDIRECT(INDEX(INDIRECT(CT_STAtoANT!$A$5),MATCH(SelectionTables!$G$4,INDIRECT(CT_STAtoANT!$G$2),0),0)),0,SUM($S$4:$S6),1,ProductTable!$H$2-SUM($S$4:$S6)),0)</f>
        <v>1</v>
      </c>
      <c r="T7" s="184" t="str">
        <f ca="1">INDEX(INDIRECT(CT_STAtoANT!$G$3),1,SUM($S$4:$S7))</f>
        <v>AirLancer ON-T60ag</v>
      </c>
      <c r="U7" s="184" t="b">
        <f ca="1">IF(ISERROR(MATCH(T7,INDIRECT(ProductTable!$J$4),0)),FALSE,TRUE)</f>
        <v>1</v>
      </c>
      <c r="V7" s="184">
        <f ca="1">MATCH(TRUE,OFFSET(INDIRECT($U$3),SUM($V$4:$V6),0,ProductTable!$H$2-SUM($V$4:$V6),1),0)</f>
        <v>1</v>
      </c>
      <c r="W7" s="184" t="str">
        <f ca="1">IF(ISERROR($V7),"",INDEX(INDIRECT($T$3),SUM($V$4:$V7)))</f>
        <v>AirLancer ON-T60ag</v>
      </c>
      <c r="Y7" s="184">
        <f ca="1">MATCH(TRUE,OFFSET(INDIRECT(INDEX(INDIRECT(CT_APtoC1!$A$5),MATCH(SelectionTables!$H$4,INDIRECT(CT_APtoC1!$G$2),0),0)),0,SUM($Y$4:$Y6),1,ProductTable!$C$2-SUM($Y$4:$Y6)),0)</f>
        <v>1</v>
      </c>
      <c r="Z7" s="251" t="str">
        <f ca="1">INDEX(INDIRECT(CT_APtoC1!$G$3),1,SUM($Y$4:$Y7))</f>
        <v>O-30-Cable 9m</v>
      </c>
      <c r="AA7" s="184">
        <f ca="1">MATCH(TRUE,OFFSET(INDIRECT(INDEX(INDIRECT(CT_C1toANT!$B$4),0,MATCH(SelectionTables!$J$4,INDIRECT(CT_C1toANT!$G$3),0))),SUM(AA$4:AA6),0,ProductTable!$M$2-SUM(AA$4:AA6)),0)</f>
        <v>11</v>
      </c>
      <c r="AB7" s="251" t="str">
        <f ca="1">IF(ISERROR(AA7),"",INDEX(INDIRECT(CT_C1toANT!$G$2),SUM(AA$4:AA7)))</f>
        <v>Other cable</v>
      </c>
      <c r="AC7" s="184" t="b">
        <f t="shared" ca="1" si="0"/>
        <v>0</v>
      </c>
      <c r="AD7" s="184" t="e">
        <f ca="1">MATCH(TRUE,OFFSET(INDIRECT($AC$3),SUM($AD$4:$AD6),0),0)</f>
        <v>#N/A</v>
      </c>
      <c r="AE7" s="184" t="e">
        <f ca="1">INDEX(INDIRECT($Z$3),SUM($AD$4:$AD7))</f>
        <v>#N/A</v>
      </c>
      <c r="AF7" s="184" t="b">
        <f ca="1">IF(ISERROR(MATCH(AE7,INDIRECT(ProductTable!$O$4),0)),FALSE,TRUE)</f>
        <v>0</v>
      </c>
      <c r="AG7" s="184" t="e">
        <f ca="1">MATCH(TRUE,OFFSET(INDIRECT($AF$3),SUM($AG$4:$AG6),0),0)</f>
        <v>#N/A</v>
      </c>
      <c r="AH7" s="184" t="str">
        <f ca="1">IF(ISERROR(AG7),"",INDEX(INDIRECT($AE$3),SUM($AG$4:$AG7)))</f>
        <v/>
      </c>
      <c r="AJ7" s="184">
        <f ca="1">MATCH(TRUE,OFFSET(INDIRECT(INDEX(INDIRECT(CT_SAtoC1!$A$5),MATCH(SelectionTables!$K$4,INDIRECT(CT_SAtoC1!$G$2),0),0)),0,SUM($AJ$4:$AJ6),1,ProductTable!$C$2-SUM($AJ$4:$AJ6)),0)</f>
        <v>1</v>
      </c>
      <c r="AK7" s="251" t="str">
        <f ca="1">INDEX(INDIRECT(CT_SAtoC1!$G$3),1,SUM($AJ$4:$AJ7))</f>
        <v>O-30-Cable 9m</v>
      </c>
      <c r="AL7" s="184">
        <f ca="1">MATCH(TRUE,OFFSET(INDIRECT(INDEX(INDIRECT(CT_C1toANT!$B$4),0,MATCH(SelectionTables!$J$4,INDIRECT(CT_C1toANT!$G$3),0))),SUM(AL$4:AL6),0,ProductTable!$M$2-SUM(AL$4:AL6)),0)</f>
        <v>11</v>
      </c>
      <c r="AM7" s="251" t="str">
        <f ca="1">IF(ISERROR(AL7),"",INDEX(INDIRECT(CT_C1toANT!$G$2),SUM(AL$4:AL7)))</f>
        <v>Other cable</v>
      </c>
      <c r="AN7" s="184" t="b">
        <f t="shared" ca="1" si="1"/>
        <v>0</v>
      </c>
      <c r="AO7" s="184" t="e">
        <f ca="1">MATCH(TRUE,OFFSET(INDIRECT(AN$3),SUM(AO$4:AO6),0),0)</f>
        <v>#N/A</v>
      </c>
      <c r="AP7" s="184" t="e">
        <f ca="1">INDEX(INDIRECT(AK$3),SUM(AO$4:AO7))</f>
        <v>#N/A</v>
      </c>
      <c r="AQ7" s="184" t="b">
        <f ca="1">IF(ISERROR(MATCH(AP7,INDIRECT(ProductTable!$AI$4),0)),FALSE,TRUE)</f>
        <v>0</v>
      </c>
      <c r="AR7" s="184" t="e">
        <f ca="1">MATCH(TRUE,OFFSET(INDIRECT($AQ$3),SUM($AR$4:$AR6),0),0)</f>
        <v>#N/A</v>
      </c>
      <c r="AS7" s="184" t="str">
        <f ca="1">IF(ISERROR(AR7),"",INDEX(INDIRECT(AP$3),SUM(AR$4:AR7)))</f>
        <v/>
      </c>
      <c r="AU7" s="184" t="str">
        <f ca="1">IF(OR(EXACT(SelectionTables!$I$4,ProductTable!$L$7),EXACT(SelectionTables!$I$4,"")),"",ProductTable!T10)</f>
        <v/>
      </c>
      <c r="AW7" s="540">
        <f ca="1">MATCH(TRUE,OFFSET(INDIRECT(INDEX(INDIRECT(CT_STAtoANT!$A$5),MATCH(SelectionTables!$G$4,INDIRECT(CT_STAtoANT!$G$2),0),0)),0,SUM($AW$4:$AW6),1,ProductTable!$H$2-SUM($AW$4:$AW6)),0)</f>
        <v>1</v>
      </c>
      <c r="AX7" s="541" t="str">
        <f ca="1">INDEX(INDIRECT(CT_STAtoANT!$G$3),1,SUM($AW$4:$AW7))</f>
        <v>AirLancer ON-T60ag</v>
      </c>
      <c r="AY7" s="541" t="b">
        <f ca="1">IF(ISERROR(MATCH(AX7,INDIRECT(ProductTable!$J$4),0)),FALSE,TRUE)</f>
        <v>1</v>
      </c>
      <c r="AZ7" s="541">
        <f ca="1">MATCH(TRUE,OFFSET(INDIRECT($AY$3),SUM($AZ$4:$AZ6),0,ProductTable!$H$2-SUM($AZ$4:$AZ6),1),0)</f>
        <v>1</v>
      </c>
      <c r="BA7" s="541" t="str">
        <f ca="1">IF(ISERROR($AZ7),"",INDEX(INDIRECT($AX$3),SUM($AZ$4:$AZ7)))</f>
        <v>AirLancer ON-T60ag</v>
      </c>
      <c r="BB7" s="541">
        <f ca="1">MATCH(TRUE,OFFSET(INDIRECT(INDEX(INDIRECT(CT_APtoANT!$A$5),MATCH(SelectionTables!$H$4,INDIRECT(CT_APtoANT!$G$2),0),0)),0,SUM($BB$4:$BB6),1,ProductTable!$H$2-SUM($BB$4:$BB6)),0)</f>
        <v>1</v>
      </c>
      <c r="BC7" s="541" t="str">
        <f ca="1">INDEX(INDIRECT(CT_APtoANT!$G$3),1,SUM($BB$4:$BB7))</f>
        <v>AirLancer ON-T60ag</v>
      </c>
      <c r="BD7" s="541" t="b">
        <f t="shared" ca="1" si="2"/>
        <v>1</v>
      </c>
      <c r="BE7" s="541">
        <f ca="1">MATCH(TRUE,OFFSET(INDIRECT($BD$3),SUM($BE$4:$BE6),0,ProductTable!$H$2-SUM($BE$4:$BE6),1),0)</f>
        <v>1</v>
      </c>
      <c r="BF7" s="541" t="str">
        <f ca="1">IF(ISERROR($BE7),"",INDEX(INDIRECT($BA$3),SUM($BE$4:$BE7)))</f>
        <v>AirLancer ON-T60ag</v>
      </c>
      <c r="BH7" s="541">
        <f ca="1">MATCH(TRUE,OFFSET(INDIRECT(INDEX(INDIRECT(CT_APtoC1!$A$5),MATCH(SelectionTables!$H$4,INDIRECT(CT_APtoC1!$G$2),0),0)),0,SUM($BH$4:$BH6),1,ProductTable!$AG$2-SUM($BH$4:$BH6)),0)</f>
        <v>1</v>
      </c>
      <c r="BI7" s="541" t="str">
        <f ca="1">INDEX(INDIRECT(CT_APtoC1!$G$3),1,SUM($BH$4:$BH7))</f>
        <v>O-30-Cable 9m</v>
      </c>
      <c r="BJ7" s="541" t="b">
        <f ca="1">IF(ISERROR(MATCH(BI7,INDIRECT(ProductTable!$AI$4),0)),FALSE,TRUE)</f>
        <v>0</v>
      </c>
      <c r="BK7" s="541">
        <f ca="1">MATCH(TRUE,OFFSET(INDIRECT($BJ$3),SUM($BK$4:$BK6),0,ProductTable!$AG$2-SUM($BK$4:$BK6),1),0)</f>
        <v>13</v>
      </c>
      <c r="BL7" s="541" t="str">
        <f ca="1">IF(ISERROR($BK7),"",INDEX(INDIRECT($BI$3),SUM($BK$4:$BK7)))</f>
        <v>No cable</v>
      </c>
    </row>
    <row r="8" spans="2:64" x14ac:dyDescent="0.25">
      <c r="B8" s="134" t="e">
        <f ca="1">MATCH(TRUE,OFFSET(INDIRECT(INDEX(INDIRECT(CT_APtoWLAN!$A$5),MATCH(SelectionTables!$H$4,INDIRECT(CT_APtoWLAN!$G$2),0),0)),0,SUM($B$4:$B7),1,ProductTable!$W$2-SUM($B$4:$B7)),0)</f>
        <v>#N/A</v>
      </c>
      <c r="C8" s="134" t="e">
        <f ca="1">INDEX(INDIRECT(CT_APtoWLAN!$G$3),1,SUM($B$4:$B8))</f>
        <v>#N/A</v>
      </c>
      <c r="D8" s="134" t="b">
        <f ca="1">IF(ISERROR(MATCH(C8,INDIRECT(ProductTable!$Y$4),0)),FALSE,TRUE)</f>
        <v>0</v>
      </c>
      <c r="E8" s="134" t="e">
        <f ca="1">MATCH(TRUE,OFFSET(INDIRECT($D$3),SUM($E$4:$E7),0,ProductTable!$W$2-SUM($E$4:$E7),1),0)</f>
        <v>#N/A</v>
      </c>
      <c r="F8" s="184" t="str">
        <f ca="1">IF(ISERROR($E8),"",INDEX(INDIRECT($C$3),SUM($E$4:$E8)))</f>
        <v/>
      </c>
      <c r="H8" s="134">
        <f ca="1">MATCH(TRUE,OFFSET(INDIRECT(INDEX(INDIRECT(CT_APtoSTA!$A$5),MATCH(SelectionTables!$H$4,INDIRECT(CT_APtoSTA!$G$2),0),0)),0,SUM($H$4:$H7),1,ProductTable!$AB$2-SUM($H$4:$H7)),0)</f>
        <v>3</v>
      </c>
      <c r="I8" s="248" t="str">
        <f ca="1">INDEX(INDIRECT(CT_APtoSTA!$G$3),1,SUM($H$4:$H8))</f>
        <v>802.11ac (5 GHz)</v>
      </c>
      <c r="J8" s="134" t="e">
        <f ca="1">MATCH(TRUE,OFFSET(INDIRECT(INDEX(INDIRECT(CT_STAtoWLAN!$B$4),0,MATCH(SelectionTables!$N$4,INDIRECT(CT_STAtoWLAN!$G$3),0))),SUM($J$4:$J7),0,ProductTable!$AB$2-SUM($J$4:$J7)),0)</f>
        <v>#REF!</v>
      </c>
      <c r="K8" s="248" t="str">
        <f ca="1">IF(ISERROR($J8),"",INDEX(INDIRECT(CT_STAtoWLAN!$G$2),SUM($J$4:$J8)))</f>
        <v/>
      </c>
      <c r="L8" s="184" t="b">
        <f t="shared" ref="L8:L45" ca="1" si="3">IF(ISERROR(MATCH(I8,INDIRECT($K$3),0)),FALSE,TRUE)</f>
        <v>1</v>
      </c>
      <c r="M8" s="184" t="e">
        <f ca="1">MATCH(TRUE,OFFSET(INDIRECT($L$3),SUM($M$4:$M7),0),0)</f>
        <v>#N/A</v>
      </c>
      <c r="N8" s="251" t="str">
        <f ca="1">IF(ISERROR(M8),"",INDEX(INDIRECT($I$3),SUM($M$4:$M8)))</f>
        <v/>
      </c>
      <c r="O8" s="184" t="b">
        <f ca="1">IF(N8="",FALSE,IF(ISERROR(MATCH(N8,INDIRECT(ProductTable!$AD$4),0)),FALSE,TRUE))</f>
        <v>0</v>
      </c>
      <c r="P8" s="184" t="e">
        <f ca="1">MATCH(TRUE,OFFSET(INDIRECT($O$3),SUM($P$4:$P7),0),0)</f>
        <v>#N/A</v>
      </c>
      <c r="Q8" s="184" t="str">
        <f ca="1">IF(ISERROR(P8),"",INDEX(INDIRECT($N$3),SUM($P$4:$P8)))</f>
        <v/>
      </c>
      <c r="S8" s="134">
        <f ca="1">MATCH(TRUE,OFFSET(INDIRECT(INDEX(INDIRECT(CT_STAtoANT!$A$5),MATCH(SelectionTables!$G$4,INDIRECT(CT_STAtoANT!$G$2),0),0)),0,SUM($S$4:$S7),1,ProductTable!$H$2-SUM($S$4:$S7)),0)</f>
        <v>1</v>
      </c>
      <c r="T8" s="184" t="str">
        <f ca="1">INDEX(INDIRECT(CT_STAtoANT!$G$3),1,SUM($S$4:$S8))</f>
        <v>AirLancer ON-T90ag</v>
      </c>
      <c r="U8" s="184" t="b">
        <f ca="1">IF(ISERROR(MATCH(T8,INDIRECT(ProductTable!$J$4),0)),FALSE,TRUE)</f>
        <v>1</v>
      </c>
      <c r="V8" s="184">
        <f ca="1">MATCH(TRUE,OFFSET(INDIRECT($U$3),SUM($V$4:$V7),0,ProductTable!$H$2-SUM($V$4:$V7),1),0)</f>
        <v>1</v>
      </c>
      <c r="W8" s="184" t="str">
        <f ca="1">IF(ISERROR($V8),"",INDEX(INDIRECT($T$3),SUM($V$4:$V8)))</f>
        <v>AirLancer ON-T90ag</v>
      </c>
      <c r="Y8" s="184">
        <f ca="1">MATCH(TRUE,OFFSET(INDIRECT(INDEX(INDIRECT(CT_APtoC1!$A$5),MATCH(SelectionTables!$H$4,INDIRECT(CT_APtoC1!$G$2),0),0)),0,SUM($Y$4:$Y7),1,ProductTable!$C$2-SUM($Y$4:$Y7)),0)</f>
        <v>1</v>
      </c>
      <c r="Z8" s="251" t="str">
        <f ca="1">INDEX(INDIRECT(CT_APtoC1!$G$3),1,SUM($Y$4:$Y8))</f>
        <v>O-70-Cable 6m</v>
      </c>
      <c r="AA8" s="184">
        <f ca="1">MATCH(TRUE,OFFSET(INDIRECT(INDEX(INDIRECT(CT_C1toANT!$B$4),0,MATCH(SelectionTables!$J$4,INDIRECT(CT_C1toANT!$G$3),0))),SUM(AA$4:AA7),0,ProductTable!$M$2-SUM(AA$4:AA7)),0)</f>
        <v>4</v>
      </c>
      <c r="AB8" s="251" t="str">
        <f ca="1">IF(ISERROR(AA8),"",INDEX(INDIRECT(CT_C1toANT!$G$2),SUM(AA$4:AA8)))</f>
        <v>Default cable</v>
      </c>
      <c r="AC8" s="184" t="b">
        <f t="shared" ca="1" si="0"/>
        <v>0</v>
      </c>
      <c r="AD8" s="184" t="e">
        <f ca="1">MATCH(TRUE,OFFSET(INDIRECT($AC$3),SUM($AD$4:$AD7),0),0)</f>
        <v>#N/A</v>
      </c>
      <c r="AE8" s="184" t="e">
        <f ca="1">INDEX(INDIRECT($Z$3),SUM($AD$4:$AD8))</f>
        <v>#N/A</v>
      </c>
      <c r="AF8" s="184" t="b">
        <f ca="1">IF(ISERROR(MATCH(AE8,INDIRECT(ProductTable!$O$4),0)),FALSE,TRUE)</f>
        <v>0</v>
      </c>
      <c r="AG8" s="184" t="e">
        <f ca="1">MATCH(TRUE,OFFSET(INDIRECT($AF$3),SUM($AG$4:$AG7),0),0)</f>
        <v>#N/A</v>
      </c>
      <c r="AH8" s="184" t="str">
        <f ca="1">IF(ISERROR(AG8),"",INDEX(INDIRECT($AE$3),SUM($AG$4:$AG8)))</f>
        <v/>
      </c>
      <c r="AJ8" s="184">
        <f ca="1">MATCH(TRUE,OFFSET(INDIRECT(INDEX(INDIRECT(CT_SAtoC1!$A$5),MATCH(SelectionTables!$K$4,INDIRECT(CT_SAtoC1!$G$2),0),0)),0,SUM($AJ$4:$AJ7),1,ProductTable!$C$2-SUM($AJ$4:$AJ7)),0)</f>
        <v>1</v>
      </c>
      <c r="AK8" s="251" t="str">
        <f ca="1">INDEX(INDIRECT(CT_SAtoC1!$G$3),1,SUM($AJ$4:$AJ8))</f>
        <v>O-70-Cable 6m</v>
      </c>
      <c r="AL8" s="184">
        <f ca="1">MATCH(TRUE,OFFSET(INDIRECT(INDEX(INDIRECT(CT_C1toANT!$B$4),0,MATCH(SelectionTables!$J$4,INDIRECT(CT_C1toANT!$G$3),0))),SUM(AL$4:AL7),0,ProductTable!$M$2-SUM(AL$4:AL7)),0)</f>
        <v>4</v>
      </c>
      <c r="AM8" s="251" t="str">
        <f ca="1">IF(ISERROR(AL8),"",INDEX(INDIRECT(CT_C1toANT!$G$2),SUM(AL$4:AL8)))</f>
        <v>Default cable</v>
      </c>
      <c r="AN8" s="184" t="b">
        <f t="shared" ca="1" si="1"/>
        <v>0</v>
      </c>
      <c r="AO8" s="184" t="e">
        <f ca="1">MATCH(TRUE,OFFSET(INDIRECT(AN$3),SUM(AO$4:AO7),0),0)</f>
        <v>#N/A</v>
      </c>
      <c r="AP8" s="184" t="e">
        <f ca="1">INDEX(INDIRECT(AK$3),SUM(AO$4:AO8))</f>
        <v>#N/A</v>
      </c>
      <c r="AQ8" s="184" t="b">
        <f ca="1">IF(ISERROR(MATCH(AP8,INDIRECT(ProductTable!$AI$4),0)),FALSE,TRUE)</f>
        <v>0</v>
      </c>
      <c r="AR8" s="184" t="e">
        <f ca="1">MATCH(TRUE,OFFSET(INDIRECT($AQ$3),SUM($AR$4:$AR7),0),0)</f>
        <v>#N/A</v>
      </c>
      <c r="AS8" s="184" t="str">
        <f ca="1">IF(ISERROR(AR8),"",INDEX(INDIRECT(AP$3),SUM(AR$4:AR8)))</f>
        <v/>
      </c>
      <c r="AU8" s="184" t="str">
        <f ca="1">IF(OR(EXACT(SelectionTables!$I$4,ProductTable!$L$7),EXACT(SelectionTables!$I$4,"")),"",ProductTable!T11)</f>
        <v/>
      </c>
      <c r="AW8" s="540">
        <f ca="1">MATCH(TRUE,OFFSET(INDIRECT(INDEX(INDIRECT(CT_STAtoANT!$A$5),MATCH(SelectionTables!$G$4,INDIRECT(CT_STAtoANT!$G$2),0),0)),0,SUM($AW$4:$AW7),1,ProductTable!$H$2-SUM($AW$4:$AW7)),0)</f>
        <v>1</v>
      </c>
      <c r="AX8" s="541" t="str">
        <f ca="1">INDEX(INDIRECT(CT_STAtoANT!$G$3),1,SUM($AW$4:$AW8))</f>
        <v>AirLancer ON-T90ag</v>
      </c>
      <c r="AY8" s="541" t="b">
        <f ca="1">IF(ISERROR(MATCH(AX8,INDIRECT(ProductTable!$J$4),0)),FALSE,TRUE)</f>
        <v>1</v>
      </c>
      <c r="AZ8" s="541">
        <f ca="1">MATCH(TRUE,OFFSET(INDIRECT($AY$3),SUM($AZ$4:$AZ7),0,ProductTable!$H$2-SUM($AZ$4:$AZ7),1),0)</f>
        <v>1</v>
      </c>
      <c r="BA8" s="541" t="str">
        <f ca="1">IF(ISERROR($AZ8),"",INDEX(INDIRECT($AX$3),SUM($AZ$4:$AZ8)))</f>
        <v>AirLancer ON-T90ag</v>
      </c>
      <c r="BB8" s="541">
        <f ca="1">MATCH(TRUE,OFFSET(INDIRECT(INDEX(INDIRECT(CT_APtoANT!$A$5),MATCH(SelectionTables!$H$4,INDIRECT(CT_APtoANT!$G$2),0),0)),0,SUM($BB$4:$BB7),1,ProductTable!$H$2-SUM($BB$4:$BB7)),0)</f>
        <v>1</v>
      </c>
      <c r="BC8" s="541" t="str">
        <f ca="1">INDEX(INDIRECT(CT_APtoANT!$G$3),1,SUM($BB$4:$BB8))</f>
        <v>AirLancer ON-T90ag</v>
      </c>
      <c r="BD8" s="541" t="b">
        <f t="shared" ca="1" si="2"/>
        <v>1</v>
      </c>
      <c r="BE8" s="541">
        <f ca="1">MATCH(TRUE,OFFSET(INDIRECT($BD$3),SUM($BE$4:$BE7),0,ProductTable!$H$2-SUM($BE$4:$BE7),1),0)</f>
        <v>1</v>
      </c>
      <c r="BF8" s="541" t="str">
        <f ca="1">IF(ISERROR($BE8),"",INDEX(INDIRECT($BA$3),SUM($BE$4:$BE8)))</f>
        <v>AirLancer ON-T90ag</v>
      </c>
      <c r="BH8" s="541">
        <f ca="1">MATCH(TRUE,OFFSET(INDIRECT(INDEX(INDIRECT(CT_APtoC1!$A$5),MATCH(SelectionTables!$H$4,INDIRECT(CT_APtoC1!$G$2),0),0)),0,SUM($BH$4:$BH7),1,ProductTable!$AG$2-SUM($BH$4:$BH7)),0)</f>
        <v>1</v>
      </c>
      <c r="BI8" s="541" t="str">
        <f ca="1">INDEX(INDIRECT(CT_APtoC1!$G$3),1,SUM($BH$4:$BH8))</f>
        <v>O-70-Cable 6m</v>
      </c>
      <c r="BJ8" s="541" t="b">
        <f ca="1">IF(ISERROR(MATCH(BI8,INDIRECT(ProductTable!$AI$4),0)),FALSE,TRUE)</f>
        <v>0</v>
      </c>
      <c r="BK8" s="541">
        <f ca="1">MATCH(TRUE,OFFSET(INDIRECT($BJ$3),SUM($BK$4:$BK7),0,ProductTable!$AG$2-SUM($BK$4:$BK7),1),0)</f>
        <v>1</v>
      </c>
      <c r="BL8" s="541" t="str">
        <f ca="1">IF(ISERROR($BK8),"",INDEX(INDIRECT($BI$3),SUM($BK$4:$BK8)))</f>
        <v>Other cable</v>
      </c>
    </row>
    <row r="9" spans="2:64" x14ac:dyDescent="0.25">
      <c r="B9" s="134" t="e">
        <f ca="1">MATCH(TRUE,OFFSET(INDIRECT(INDEX(INDIRECT(CT_APtoWLAN!$A$5),MATCH(SelectionTables!$H$4,INDIRECT(CT_APtoWLAN!$G$2),0),0)),0,SUM($B$4:$B8),1,ProductTable!$W$2-SUM($B$4:$B8)),0)</f>
        <v>#N/A</v>
      </c>
      <c r="C9" s="134" t="e">
        <f ca="1">INDEX(INDIRECT(CT_APtoWLAN!$G$3),1,SUM($B$4:$B9))</f>
        <v>#N/A</v>
      </c>
      <c r="D9" s="134" t="b">
        <f ca="1">IF(ISERROR(MATCH(C9,INDIRECT(ProductTable!$Y$4),0)),FALSE,TRUE)</f>
        <v>0</v>
      </c>
      <c r="E9" s="134" t="e">
        <f ca="1">MATCH(TRUE,OFFSET(INDIRECT($D$3),SUM($E$4:$E8),0,ProductTable!$W$2-SUM($E$4:$E8),1),0)</f>
        <v>#N/A</v>
      </c>
      <c r="F9" s="184" t="str">
        <f ca="1">IF(ISERROR($E9),"",INDEX(INDIRECT($C$3),SUM($E$4:$E9)))</f>
        <v/>
      </c>
      <c r="H9" s="134" t="e">
        <f ca="1">MATCH(TRUE,OFFSET(INDIRECT(INDEX(INDIRECT(CT_APtoSTA!$A$5),MATCH(SelectionTables!$H$4,INDIRECT(CT_APtoSTA!$G$2),0),0)),0,SUM($H$4:$H8),1,ProductTable!$AB$2-SUM($H$4:$H8)),0)</f>
        <v>#REF!</v>
      </c>
      <c r="I9" s="248" t="e">
        <f ca="1">INDEX(INDIRECT(CT_APtoSTA!$G$3),1,SUM($H$4:$H9))</f>
        <v>#REF!</v>
      </c>
      <c r="J9" s="134" t="e">
        <f ca="1">MATCH(TRUE,OFFSET(INDIRECT(INDEX(INDIRECT(CT_STAtoWLAN!$B$4),0,MATCH(SelectionTables!$N$4,INDIRECT(CT_STAtoWLAN!$G$3),0))),SUM($J$4:$J8),0,ProductTable!$AB$2-SUM($J$4:$J8)),0)</f>
        <v>#REF!</v>
      </c>
      <c r="K9" s="248" t="str">
        <f ca="1">IF(ISERROR($J9),"",INDEX(INDIRECT(CT_STAtoWLAN!$G$2),SUM($J$4:$J9)))</f>
        <v/>
      </c>
      <c r="L9" s="184" t="b">
        <f t="shared" ca="1" si="3"/>
        <v>0</v>
      </c>
      <c r="M9" s="184" t="e">
        <f ca="1">MATCH(TRUE,OFFSET(INDIRECT($L$3),SUM($M$4:$M8),0),0)</f>
        <v>#N/A</v>
      </c>
      <c r="N9" s="251" t="str">
        <f ca="1">IF(ISERROR(M9),"",INDEX(INDIRECT($I$3),SUM($M$4:$M9)))</f>
        <v/>
      </c>
      <c r="O9" s="184" t="b">
        <f ca="1">IF(N9="",FALSE,IF(ISERROR(MATCH(N9,INDIRECT(ProductTable!$AD$4),0)),FALSE,TRUE))</f>
        <v>0</v>
      </c>
      <c r="P9" s="184" t="e">
        <f ca="1">MATCH(TRUE,OFFSET(INDIRECT($O$3),SUM($P$4:$P8),0),0)</f>
        <v>#N/A</v>
      </c>
      <c r="Q9" s="184" t="str">
        <f ca="1">IF(ISERROR(P9),"",INDEX(INDIRECT($N$3),SUM($P$4:$P9)))</f>
        <v/>
      </c>
      <c r="S9" s="134">
        <f ca="1">MATCH(TRUE,OFFSET(INDIRECT(INDEX(INDIRECT(CT_STAtoANT!$A$5),MATCH(SelectionTables!$G$4,INDIRECT(CT_STAtoANT!$G$2),0),0)),0,SUM($S$4:$S8),1,ProductTable!$H$2-SUM($S$4:$S8)),0)</f>
        <v>1</v>
      </c>
      <c r="T9" s="184" t="str">
        <f ca="1">INDEX(INDIRECT(CT_STAtoANT!$G$3),1,SUM($S$4:$S9))</f>
        <v>AirLancer ON-T360ag</v>
      </c>
      <c r="U9" s="184" t="b">
        <f ca="1">IF(ISERROR(MATCH(T9,INDIRECT(ProductTable!$J$4),0)),FALSE,TRUE)</f>
        <v>1</v>
      </c>
      <c r="V9" s="184">
        <f ca="1">MATCH(TRUE,OFFSET(INDIRECT($U$3),SUM($V$4:$V8),0,ProductTable!$H$2-SUM($V$4:$V8),1),0)</f>
        <v>1</v>
      </c>
      <c r="W9" s="184" t="str">
        <f ca="1">IF(ISERROR($V9),"",INDEX(INDIRECT($T$3),SUM($V$4:$V9)))</f>
        <v>AirLancer ON-T360ag</v>
      </c>
      <c r="Y9" s="184">
        <f ca="1">MATCH(TRUE,OFFSET(INDIRECT(INDEX(INDIRECT(CT_APtoC1!$A$5),MATCH(SelectionTables!$H$4,INDIRECT(CT_APtoC1!$G$2),0),0)),0,SUM($Y$4:$Y8),1,ProductTable!$C$2-SUM($Y$4:$Y8)),0)</f>
        <v>1</v>
      </c>
      <c r="Z9" s="251" t="str">
        <f ca="1">INDEX(INDIRECT(CT_APtoC1!$G$3),1,SUM($Y$4:$Y9))</f>
        <v>O-18a-Cable 1m</v>
      </c>
      <c r="AA9" s="184" t="e">
        <f ca="1">MATCH(TRUE,OFFSET(INDIRECT(INDEX(INDIRECT(CT_C1toANT!$B$4),0,MATCH(SelectionTables!$J$4,INDIRECT(CT_C1toANT!$G$3),0))),SUM(AA$4:AA8),0,ProductTable!$M$2-SUM(AA$4:AA8)),0)</f>
        <v>#REF!</v>
      </c>
      <c r="AB9" s="251" t="str">
        <f ca="1">IF(ISERROR(AA9),"",INDEX(INDIRECT(CT_C1toANT!$G$2),SUM(AA$4:AA9)))</f>
        <v/>
      </c>
      <c r="AC9" s="184" t="b">
        <f t="shared" ca="1" si="0"/>
        <v>0</v>
      </c>
      <c r="AD9" s="184" t="e">
        <f ca="1">MATCH(TRUE,OFFSET(INDIRECT($AC$3),SUM($AD$4:$AD8),0),0)</f>
        <v>#N/A</v>
      </c>
      <c r="AE9" s="184" t="e">
        <f ca="1">INDEX(INDIRECT($Z$3),SUM($AD$4:$AD9))</f>
        <v>#N/A</v>
      </c>
      <c r="AF9" s="184" t="b">
        <f ca="1">IF(ISERROR(MATCH(AE9,INDIRECT(ProductTable!$O$4),0)),FALSE,TRUE)</f>
        <v>0</v>
      </c>
      <c r="AG9" s="184" t="e">
        <f ca="1">MATCH(TRUE,OFFSET(INDIRECT($AF$3),SUM($AG$4:$AG8),0),0)</f>
        <v>#N/A</v>
      </c>
      <c r="AH9" s="184" t="str">
        <f ca="1">IF(ISERROR(AG9),"",INDEX(INDIRECT($AE$3),SUM($AG$4:$AG9)))</f>
        <v/>
      </c>
      <c r="AJ9" s="184">
        <f ca="1">MATCH(TRUE,OFFSET(INDIRECT(INDEX(INDIRECT(CT_SAtoC1!$A$5),MATCH(SelectionTables!$K$4,INDIRECT(CT_SAtoC1!$G$2),0),0)),0,SUM($AJ$4:$AJ8),1,ProductTable!$C$2-SUM($AJ$4:$AJ8)),0)</f>
        <v>1</v>
      </c>
      <c r="AK9" s="251" t="str">
        <f ca="1">INDEX(INDIRECT(CT_SAtoC1!$G$3),1,SUM($AJ$4:$AJ9))</f>
        <v>O-18a-Cable 1m</v>
      </c>
      <c r="AL9" s="184" t="e">
        <f ca="1">MATCH(TRUE,OFFSET(INDIRECT(INDEX(INDIRECT(CT_C1toANT!$B$4),0,MATCH(SelectionTables!$J$4,INDIRECT(CT_C1toANT!$G$3),0))),SUM(AL$4:AL8),0,ProductTable!$M$2-SUM(AL$4:AL8)),0)</f>
        <v>#REF!</v>
      </c>
      <c r="AM9" s="251" t="str">
        <f ca="1">IF(ISERROR(AL9),"",INDEX(INDIRECT(CT_C1toANT!$G$2),SUM(AL$4:AL9)))</f>
        <v/>
      </c>
      <c r="AN9" s="184" t="b">
        <f t="shared" ca="1" si="1"/>
        <v>0</v>
      </c>
      <c r="AO9" s="184" t="e">
        <f ca="1">MATCH(TRUE,OFFSET(INDIRECT(AN$3),SUM(AO$4:AO8),0),0)</f>
        <v>#N/A</v>
      </c>
      <c r="AP9" s="184" t="e">
        <f ca="1">INDEX(INDIRECT(AK$3),SUM(AO$4:AO9))</f>
        <v>#N/A</v>
      </c>
      <c r="AQ9" s="184" t="b">
        <f ca="1">IF(ISERROR(MATCH(AP9,INDIRECT(ProductTable!$AI$4),0)),FALSE,TRUE)</f>
        <v>0</v>
      </c>
      <c r="AR9" s="184" t="e">
        <f ca="1">MATCH(TRUE,OFFSET(INDIRECT($AQ$3),SUM($AR$4:$AR8),0),0)</f>
        <v>#N/A</v>
      </c>
      <c r="AS9" s="184" t="str">
        <f ca="1">IF(ISERROR(AR9),"",INDEX(INDIRECT(AP$3),SUM(AR$4:AR9)))</f>
        <v/>
      </c>
      <c r="AU9" s="184" t="str">
        <f ca="1">IF(OR(EXACT(SelectionTables!$I$4,ProductTable!$L$7),EXACT(SelectionTables!$I$4,"")),"",ProductTable!T12)</f>
        <v/>
      </c>
      <c r="AW9" s="540">
        <f ca="1">MATCH(TRUE,OFFSET(INDIRECT(INDEX(INDIRECT(CT_STAtoANT!$A$5),MATCH(SelectionTables!$G$4,INDIRECT(CT_STAtoANT!$G$2),0),0)),0,SUM($AW$4:$AW8),1,ProductTable!$H$2-SUM($AW$4:$AW8)),0)</f>
        <v>1</v>
      </c>
      <c r="AX9" s="541" t="str">
        <f ca="1">INDEX(INDIRECT(CT_STAtoANT!$G$3),1,SUM($AW$4:$AW9))</f>
        <v>AirLancer ON-T360ag</v>
      </c>
      <c r="AY9" s="541" t="b">
        <f ca="1">IF(ISERROR(MATCH(AX9,INDIRECT(ProductTable!$J$4),0)),FALSE,TRUE)</f>
        <v>1</v>
      </c>
      <c r="AZ9" s="541">
        <f ca="1">MATCH(TRUE,OFFSET(INDIRECT($AY$3),SUM($AZ$4:$AZ8),0,ProductTable!$H$2-SUM($AZ$4:$AZ8),1),0)</f>
        <v>1</v>
      </c>
      <c r="BA9" s="541" t="str">
        <f ca="1">IF(ISERROR($AZ9),"",INDEX(INDIRECT($AX$3),SUM($AZ$4:$AZ9)))</f>
        <v>AirLancer ON-T360ag</v>
      </c>
      <c r="BB9" s="541">
        <f ca="1">MATCH(TRUE,OFFSET(INDIRECT(INDEX(INDIRECT(CT_APtoANT!$A$5),MATCH(SelectionTables!$H$4,INDIRECT(CT_APtoANT!$G$2),0),0)),0,SUM($BB$4:$BB8),1,ProductTable!$H$2-SUM($BB$4:$BB8)),0)</f>
        <v>1</v>
      </c>
      <c r="BC9" s="541" t="str">
        <f ca="1">INDEX(INDIRECT(CT_APtoANT!$G$3),1,SUM($BB$4:$BB9))</f>
        <v>AirLancer ON-T360ag</v>
      </c>
      <c r="BD9" s="541" t="b">
        <f t="shared" ca="1" si="2"/>
        <v>1</v>
      </c>
      <c r="BE9" s="541">
        <f ca="1">MATCH(TRUE,OFFSET(INDIRECT($BD$3),SUM($BE$4:$BE8),0,ProductTable!$H$2-SUM($BE$4:$BE8),1),0)</f>
        <v>1</v>
      </c>
      <c r="BF9" s="541" t="str">
        <f ca="1">IF(ISERROR($BE9),"",INDEX(INDIRECT($BA$3),SUM($BE$4:$BE9)))</f>
        <v>AirLancer ON-T360ag</v>
      </c>
      <c r="BH9" s="541">
        <f ca="1">MATCH(TRUE,OFFSET(INDIRECT(INDEX(INDIRECT(CT_APtoC1!$A$5),MATCH(SelectionTables!$H$4,INDIRECT(CT_APtoC1!$G$2),0),0)),0,SUM($BH$4:$BH8),1,ProductTable!$AG$2-SUM($BH$4:$BH8)),0)</f>
        <v>1</v>
      </c>
      <c r="BI9" s="541" t="str">
        <f ca="1">INDEX(INDIRECT(CT_APtoC1!$G$3),1,SUM($BH$4:$BH9))</f>
        <v>O-18a-Cable 1m</v>
      </c>
      <c r="BJ9" s="541" t="b">
        <f ca="1">IF(ISERROR(MATCH(BI9,INDIRECT(ProductTable!$AI$4),0)),FALSE,TRUE)</f>
        <v>0</v>
      </c>
      <c r="BK9" s="541" t="e">
        <f ca="1">MATCH(TRUE,OFFSET(INDIRECT($BJ$3),SUM($BK$4:$BK8),0,ProductTable!$AG$2-SUM($BK$4:$BK8),1),0)</f>
        <v>#N/A</v>
      </c>
      <c r="BL9" s="541" t="str">
        <f ca="1">IF(ISERROR($BK9),"",INDEX(INDIRECT($BI$3),SUM($BK$4:$BK9)))</f>
        <v/>
      </c>
    </row>
    <row r="10" spans="2:64" x14ac:dyDescent="0.25">
      <c r="B10" s="134" t="e">
        <f ca="1">MATCH(TRUE,OFFSET(INDIRECT(INDEX(INDIRECT(CT_APtoWLAN!$A$5),MATCH(SelectionTables!$H$4,INDIRECT(CT_APtoWLAN!$G$2),0),0)),0,SUM($B$4:$B9),1,ProductTable!$W$2-SUM($B$4:$B9)),0)</f>
        <v>#N/A</v>
      </c>
      <c r="C10" s="134" t="e">
        <f ca="1">INDEX(INDIRECT(CT_APtoWLAN!$G$3),1,SUM($B$4:$B10))</f>
        <v>#N/A</v>
      </c>
      <c r="D10" s="134" t="b">
        <f ca="1">IF(ISERROR(MATCH(C10,INDIRECT(ProductTable!$Y$4),0)),FALSE,TRUE)</f>
        <v>0</v>
      </c>
      <c r="E10" s="134" t="e">
        <f ca="1">MATCH(TRUE,OFFSET(INDIRECT($D$3),SUM($E$4:$E9),0,ProductTable!$W$2-SUM($E$4:$E9),1),0)</f>
        <v>#N/A</v>
      </c>
      <c r="F10" s="184" t="str">
        <f ca="1">IF(ISERROR($E10),"",INDEX(INDIRECT($C$3),SUM($E$4:$E10)))</f>
        <v/>
      </c>
      <c r="H10" s="134" t="e">
        <f ca="1">MATCH(TRUE,OFFSET(INDIRECT(INDEX(INDIRECT(CT_APtoSTA!$A$5),MATCH(SelectionTables!$H$4,INDIRECT(CT_APtoSTA!$G$2),0),0)),0,SUM($H$4:$H9),1,ProductTable!$AB$2-SUM($H$4:$H9)),0)</f>
        <v>#REF!</v>
      </c>
      <c r="I10" s="248" t="e">
        <f ca="1">INDEX(INDIRECT(CT_APtoSTA!$G$3),1,SUM($H$4:$H10))</f>
        <v>#REF!</v>
      </c>
      <c r="J10" s="134" t="e">
        <f ca="1">MATCH(TRUE,OFFSET(INDIRECT(INDEX(INDIRECT(CT_STAtoWLAN!$B$4),0,MATCH(SelectionTables!$N$4,INDIRECT(CT_STAtoWLAN!$G$3),0))),SUM($J$4:$J9),0,ProductTable!$AB$2-SUM($J$4:$J9)),0)</f>
        <v>#REF!</v>
      </c>
      <c r="K10" s="248" t="str">
        <f ca="1">IF(ISERROR($J10),"",INDEX(INDIRECT(CT_STAtoWLAN!$G$2),SUM($J$4:$J10)))</f>
        <v/>
      </c>
      <c r="L10" s="184" t="b">
        <f t="shared" ca="1" si="3"/>
        <v>0</v>
      </c>
      <c r="M10" s="184" t="e">
        <f ca="1">MATCH(TRUE,OFFSET(INDIRECT($L$3),SUM($M$4:$M9),0),0)</f>
        <v>#N/A</v>
      </c>
      <c r="N10" s="251" t="str">
        <f ca="1">IF(ISERROR(M10),"",INDEX(INDIRECT($I$3),SUM($M$4:$M10)))</f>
        <v/>
      </c>
      <c r="O10" s="184" t="b">
        <f ca="1">IF(N10="",FALSE,IF(ISERROR(MATCH(N10,INDIRECT(ProductTable!$AD$4),0)),FALSE,TRUE))</f>
        <v>0</v>
      </c>
      <c r="P10" s="184" t="e">
        <f ca="1">MATCH(TRUE,OFFSET(INDIRECT($O$3),SUM($P$4:$P9),0),0)</f>
        <v>#N/A</v>
      </c>
      <c r="Q10" s="184" t="str">
        <f ca="1">IF(ISERROR(P10),"",INDEX(INDIRECT($N$3),SUM($P$4:$P10)))</f>
        <v/>
      </c>
      <c r="S10" s="134">
        <f ca="1">MATCH(TRUE,OFFSET(INDIRECT(INDEX(INDIRECT(CT_STAtoANT!$A$5),MATCH(SelectionTables!$G$4,INDIRECT(CT_STAtoANT!$G$2),0),0)),0,SUM($S$4:$S9),1,ProductTable!$H$2-SUM($S$4:$S9)),0)</f>
        <v>1</v>
      </c>
      <c r="T10" s="184" t="str">
        <f ca="1">INDEX(INDIRECT(CT_STAtoANT!$G$3),1,SUM($S$4:$S10))</f>
        <v>AirLancer ON-Q360ag</v>
      </c>
      <c r="U10" s="184" t="b">
        <f ca="1">IF(ISERROR(MATCH(T10,INDIRECT(ProductTable!$J$4),0)),FALSE,TRUE)</f>
        <v>1</v>
      </c>
      <c r="V10" s="184">
        <f ca="1">MATCH(TRUE,OFFSET(INDIRECT($U$3),SUM($V$4:$V9),0,ProductTable!$H$2-SUM($V$4:$V9),1),0)</f>
        <v>1</v>
      </c>
      <c r="W10" s="184" t="str">
        <f ca="1">IF(ISERROR($V10),"",INDEX(INDIRECT($T$3),SUM($V$4:$V10)))</f>
        <v>AirLancer ON-Q360ag</v>
      </c>
      <c r="Y10" s="184">
        <f ca="1">MATCH(TRUE,OFFSET(INDIRECT(INDEX(INDIRECT(CT_APtoC1!$A$5),MATCH(SelectionTables!$H$4,INDIRECT(CT_APtoC1!$G$2),0),0)),0,SUM($Y$4:$Y9),1,ProductTable!$C$2-SUM($Y$4:$Y9)),0)</f>
        <v>1</v>
      </c>
      <c r="Z10" s="251" t="str">
        <f ca="1">INDEX(INDIRECT(CT_APtoC1!$G$3),1,SUM($Y$4:$Y10))</f>
        <v>O-18a-Cable 3m</v>
      </c>
      <c r="AA10" s="184" t="e">
        <f ca="1">MATCH(TRUE,OFFSET(INDIRECT(INDEX(INDIRECT(CT_C1toANT!$B$4),0,MATCH(SelectionTables!$J$4,INDIRECT(CT_C1toANT!$G$3),0))),SUM(AA$4:AA9),0,ProductTable!$M$2-SUM(AA$4:AA9)),0)</f>
        <v>#REF!</v>
      </c>
      <c r="AB10" s="251" t="str">
        <f ca="1">IF(ISERROR(AA10),"",INDEX(INDIRECT(CT_C1toANT!$G$2),SUM(AA$4:AA10)))</f>
        <v/>
      </c>
      <c r="AC10" s="184" t="b">
        <f t="shared" ca="1" si="0"/>
        <v>0</v>
      </c>
      <c r="AD10" s="184" t="e">
        <f ca="1">MATCH(TRUE,OFFSET(INDIRECT($AC$3),SUM($AD$4:$AD9),0),0)</f>
        <v>#N/A</v>
      </c>
      <c r="AE10" s="184" t="e">
        <f ca="1">INDEX(INDIRECT($Z$3),SUM($AD$4:$AD10))</f>
        <v>#N/A</v>
      </c>
      <c r="AF10" s="184" t="b">
        <f ca="1">IF(ISERROR(MATCH(AE10,INDIRECT(ProductTable!$O$4),0)),FALSE,TRUE)</f>
        <v>0</v>
      </c>
      <c r="AG10" s="184" t="e">
        <f ca="1">MATCH(TRUE,OFFSET(INDIRECT($AF$3),SUM($AG$4:$AG9),0),0)</f>
        <v>#N/A</v>
      </c>
      <c r="AH10" s="184" t="str">
        <f ca="1">IF(ISERROR(AG10),"",INDEX(INDIRECT($AE$3),SUM($AG$4:$AG10)))</f>
        <v/>
      </c>
      <c r="AJ10" s="184">
        <f ca="1">MATCH(TRUE,OFFSET(INDIRECT(INDEX(INDIRECT(CT_SAtoC1!$A$5),MATCH(SelectionTables!$K$4,INDIRECT(CT_SAtoC1!$G$2),0),0)),0,SUM($AJ$4:$AJ9),1,ProductTable!$C$2-SUM($AJ$4:$AJ9)),0)</f>
        <v>1</v>
      </c>
      <c r="AK10" s="251" t="str">
        <f ca="1">INDEX(INDIRECT(CT_SAtoC1!$G$3),1,SUM($AJ$4:$AJ10))</f>
        <v>O-18a-Cable 3m</v>
      </c>
      <c r="AL10" s="184" t="e">
        <f ca="1">MATCH(TRUE,OFFSET(INDIRECT(INDEX(INDIRECT(CT_C1toANT!$B$4),0,MATCH(SelectionTables!$J$4,INDIRECT(CT_C1toANT!$G$3),0))),SUM(AL$4:AL9),0,ProductTable!$M$2-SUM(AL$4:AL9)),0)</f>
        <v>#REF!</v>
      </c>
      <c r="AM10" s="251" t="str">
        <f ca="1">IF(ISERROR(AL10),"",INDEX(INDIRECT(CT_C1toANT!$G$2),SUM(AL$4:AL10)))</f>
        <v/>
      </c>
      <c r="AN10" s="184" t="b">
        <f t="shared" ca="1" si="1"/>
        <v>0</v>
      </c>
      <c r="AO10" s="184" t="e">
        <f ca="1">MATCH(TRUE,OFFSET(INDIRECT(AN$3),SUM(AO$4:AO9),0),0)</f>
        <v>#N/A</v>
      </c>
      <c r="AP10" s="184" t="e">
        <f ca="1">INDEX(INDIRECT(AK$3),SUM(AO$4:AO10))</f>
        <v>#N/A</v>
      </c>
      <c r="AQ10" s="184" t="b">
        <f ca="1">IF(ISERROR(MATCH(AP10,INDIRECT(ProductTable!$AI$4),0)),FALSE,TRUE)</f>
        <v>0</v>
      </c>
      <c r="AR10" s="184" t="e">
        <f ca="1">MATCH(TRUE,OFFSET(INDIRECT($AQ$3),SUM($AR$4:$AR9),0),0)</f>
        <v>#N/A</v>
      </c>
      <c r="AS10" s="184" t="str">
        <f ca="1">IF(ISERROR(AR10),"",INDEX(INDIRECT(AP$3),SUM(AR$4:AR10)))</f>
        <v/>
      </c>
      <c r="AU10" s="184" t="str">
        <f ca="1">IF(OR(EXACT(SelectionTables!$I$4,ProductTable!$L$7),EXACT(SelectionTables!$I$4,"")),"",ProductTable!T13)</f>
        <v/>
      </c>
      <c r="AW10" s="540">
        <f ca="1">MATCH(TRUE,OFFSET(INDIRECT(INDEX(INDIRECT(CT_STAtoANT!$A$5),MATCH(SelectionTables!$G$4,INDIRECT(CT_STAtoANT!$G$2),0),0)),0,SUM($AW$4:$AW9),1,ProductTable!$H$2-SUM($AW$4:$AW9)),0)</f>
        <v>1</v>
      </c>
      <c r="AX10" s="541" t="str">
        <f ca="1">INDEX(INDIRECT(CT_STAtoANT!$G$3),1,SUM($AW$4:$AW10))</f>
        <v>AirLancer ON-Q360ag</v>
      </c>
      <c r="AY10" s="541" t="b">
        <f ca="1">IF(ISERROR(MATCH(AX10,INDIRECT(ProductTable!$J$4),0)),FALSE,TRUE)</f>
        <v>1</v>
      </c>
      <c r="AZ10" s="541">
        <f ca="1">MATCH(TRUE,OFFSET(INDIRECT($AY$3),SUM($AZ$4:$AZ9),0,ProductTable!$H$2-SUM($AZ$4:$AZ9),1),0)</f>
        <v>1</v>
      </c>
      <c r="BA10" s="541" t="str">
        <f ca="1">IF(ISERROR($AZ10),"",INDEX(INDIRECT($AX$3),SUM($AZ$4:$AZ10)))</f>
        <v>AirLancer ON-Q360ag</v>
      </c>
      <c r="BB10" s="541">
        <f ca="1">MATCH(TRUE,OFFSET(INDIRECT(INDEX(INDIRECT(CT_APtoANT!$A$5),MATCH(SelectionTables!$H$4,INDIRECT(CT_APtoANT!$G$2),0),0)),0,SUM($BB$4:$BB9),1,ProductTable!$H$2-SUM($BB$4:$BB9)),0)</f>
        <v>1</v>
      </c>
      <c r="BC10" s="541" t="str">
        <f ca="1">INDEX(INDIRECT(CT_APtoANT!$G$3),1,SUM($BB$4:$BB10))</f>
        <v>AirLancer ON-Q360ag</v>
      </c>
      <c r="BD10" s="541" t="b">
        <f t="shared" ca="1" si="2"/>
        <v>1</v>
      </c>
      <c r="BE10" s="541">
        <f ca="1">MATCH(TRUE,OFFSET(INDIRECT($BD$3),SUM($BE$4:$BE9),0,ProductTable!$H$2-SUM($BE$4:$BE9),1),0)</f>
        <v>1</v>
      </c>
      <c r="BF10" s="541" t="str">
        <f ca="1">IF(ISERROR($BE10),"",INDEX(INDIRECT($BA$3),SUM($BE$4:$BE10)))</f>
        <v>AirLancer ON-Q360ag</v>
      </c>
      <c r="BH10" s="541">
        <f ca="1">MATCH(TRUE,OFFSET(INDIRECT(INDEX(INDIRECT(CT_APtoC1!$A$5),MATCH(SelectionTables!$H$4,INDIRECT(CT_APtoC1!$G$2),0),0)),0,SUM($BH$4:$BH9),1,ProductTable!$AG$2-SUM($BH$4:$BH9)),0)</f>
        <v>1</v>
      </c>
      <c r="BI10" s="541" t="str">
        <f ca="1">INDEX(INDIRECT(CT_APtoC1!$G$3),1,SUM($BH$4:$BH10))</f>
        <v>O-18a-Cable 3m</v>
      </c>
      <c r="BJ10" s="541" t="b">
        <f ca="1">IF(ISERROR(MATCH(BI10,INDIRECT(ProductTable!$AI$4),0)),FALSE,TRUE)</f>
        <v>0</v>
      </c>
      <c r="BK10" s="541" t="e">
        <f ca="1">MATCH(TRUE,OFFSET(INDIRECT($BJ$3),SUM($BK$4:$BK9),0,ProductTable!$AG$2-SUM($BK$4:$BK9),1),0)</f>
        <v>#N/A</v>
      </c>
      <c r="BL10" s="541" t="str">
        <f ca="1">IF(ISERROR($BK10),"",INDEX(INDIRECT($BI$3),SUM($BK$4:$BK10)))</f>
        <v/>
      </c>
    </row>
    <row r="11" spans="2:64" x14ac:dyDescent="0.25">
      <c r="B11" s="134" t="e">
        <f ca="1">MATCH(TRUE,OFFSET(INDIRECT(INDEX(INDIRECT(CT_APtoWLAN!$A$5),MATCH(SelectionTables!$H$4,INDIRECT(CT_APtoWLAN!$G$2),0),0)),0,SUM($B$4:$B10),1,ProductTable!$W$2-SUM($B$4:$B10)),0)</f>
        <v>#N/A</v>
      </c>
      <c r="C11" s="134" t="e">
        <f ca="1">INDEX(INDIRECT(CT_APtoWLAN!$G$3),1,SUM($B$4:$B11))</f>
        <v>#N/A</v>
      </c>
      <c r="D11" s="134" t="b">
        <f ca="1">IF(ISERROR(MATCH(C11,INDIRECT(ProductTable!$Y$4),0)),FALSE,TRUE)</f>
        <v>0</v>
      </c>
      <c r="E11" s="134" t="e">
        <f ca="1">MATCH(TRUE,OFFSET(INDIRECT($D$3),SUM($E$4:$E10),0,ProductTable!$W$2-SUM($E$4:$E10),1),0)</f>
        <v>#N/A</v>
      </c>
      <c r="F11" s="184" t="str">
        <f ca="1">IF(ISERROR($E11),"",INDEX(INDIRECT($C$3),SUM($E$4:$E11)))</f>
        <v/>
      </c>
      <c r="H11" s="134" t="e">
        <f ca="1">MATCH(TRUE,OFFSET(INDIRECT(INDEX(INDIRECT(CT_APtoSTA!$A$5),MATCH(SelectionTables!$H$4,INDIRECT(CT_APtoSTA!$G$2),0),0)),0,SUM($H$4:$H10),1,ProductTable!$AB$2-SUM($H$4:$H10)),0)</f>
        <v>#REF!</v>
      </c>
      <c r="I11" s="248" t="e">
        <f ca="1">INDEX(INDIRECT(CT_APtoSTA!$G$3),1,SUM($H$4:$H11))</f>
        <v>#REF!</v>
      </c>
      <c r="J11" s="134" t="e">
        <f ca="1">MATCH(TRUE,OFFSET(INDIRECT(INDEX(INDIRECT(CT_STAtoWLAN!$B$4),0,MATCH(SelectionTables!$N$4,INDIRECT(CT_STAtoWLAN!$G$3),0))),SUM($J$4:$J10),0,ProductTable!$AB$2-SUM($J$4:$J10)),0)</f>
        <v>#REF!</v>
      </c>
      <c r="K11" s="248" t="str">
        <f ca="1">IF(ISERROR($J11),"",INDEX(INDIRECT(CT_STAtoWLAN!$G$2),SUM($J$4:$J11)))</f>
        <v/>
      </c>
      <c r="L11" s="184" t="b">
        <f t="shared" ca="1" si="3"/>
        <v>0</v>
      </c>
      <c r="M11" s="184" t="e">
        <f ca="1">MATCH(TRUE,OFFSET(INDIRECT($L$3),SUM($M$4:$M10),0),0)</f>
        <v>#N/A</v>
      </c>
      <c r="N11" s="251" t="str">
        <f ca="1">IF(ISERROR(M11),"",INDEX(INDIRECT($I$3),SUM($M$4:$M11)))</f>
        <v/>
      </c>
      <c r="O11" s="184" t="b">
        <f ca="1">IF(N11="",FALSE,IF(ISERROR(MATCH(N11,INDIRECT(ProductTable!$AD$4),0)),FALSE,TRUE))</f>
        <v>0</v>
      </c>
      <c r="P11" s="184" t="e">
        <f ca="1">MATCH(TRUE,OFFSET(INDIRECT($O$3),SUM($P$4:$P10),0),0)</f>
        <v>#N/A</v>
      </c>
      <c r="Q11" s="184" t="str">
        <f ca="1">IF(ISERROR(P11),"",INDEX(INDIRECT($N$3),SUM($P$4:$P11)))</f>
        <v/>
      </c>
      <c r="S11" s="134">
        <f ca="1">MATCH(TRUE,OFFSET(INDIRECT(INDEX(INDIRECT(CT_STAtoANT!$A$5),MATCH(SelectionTables!$G$4,INDIRECT(CT_STAtoANT!$G$2),0),0)),0,SUM($S$4:$S10),1,ProductTable!$H$2-SUM($S$4:$S10)),0)</f>
        <v>1</v>
      </c>
      <c r="T11" s="184" t="str">
        <f ca="1">INDEX(INDIRECT(CT_STAtoANT!$G$3),1,SUM($S$4:$S11))</f>
        <v>AirLancer ON-Q90ag</v>
      </c>
      <c r="U11" s="184" t="b">
        <f ca="1">IF(ISERROR(MATCH(T11,INDIRECT(ProductTable!$J$4),0)),FALSE,TRUE)</f>
        <v>1</v>
      </c>
      <c r="V11" s="184">
        <f ca="1">MATCH(TRUE,OFFSET(INDIRECT($U$3),SUM($V$4:$V10),0,ProductTable!$H$2-SUM($V$4:$V10),1),0)</f>
        <v>1</v>
      </c>
      <c r="W11" s="184" t="str">
        <f ca="1">IF(ISERROR($V11),"",INDEX(INDIRECT($T$3),SUM($V$4:$V11)))</f>
        <v>AirLancer ON-Q90ag</v>
      </c>
      <c r="Y11" s="184">
        <f ca="1">MATCH(TRUE,OFFSET(INDIRECT(INDEX(INDIRECT(CT_APtoC1!$A$5),MATCH(SelectionTables!$H$4,INDIRECT(CT_APtoC1!$G$2),0),0)),0,SUM($Y$4:$Y10),1,ProductTable!$C$2-SUM($Y$4:$Y10)),0)</f>
        <v>1</v>
      </c>
      <c r="Z11" s="251" t="str">
        <f ca="1">INDEX(INDIRECT(CT_APtoC1!$G$3),1,SUM($Y$4:$Y11))</f>
        <v>O-9a-Cable 1m</v>
      </c>
      <c r="AA11" s="184" t="e">
        <f ca="1">MATCH(TRUE,OFFSET(INDIRECT(INDEX(INDIRECT(CT_C1toANT!$B$4),0,MATCH(SelectionTables!$J$4,INDIRECT(CT_C1toANT!$G$3),0))),SUM(AA$4:AA10),0,ProductTable!$M$2-SUM(AA$4:AA10)),0)</f>
        <v>#REF!</v>
      </c>
      <c r="AB11" s="251" t="str">
        <f ca="1">IF(ISERROR(AA11),"",INDEX(INDIRECT(CT_C1toANT!$G$2),SUM(AA$4:AA11)))</f>
        <v/>
      </c>
      <c r="AC11" s="184" t="b">
        <f t="shared" ca="1" si="0"/>
        <v>0</v>
      </c>
      <c r="AD11" s="184" t="e">
        <f ca="1">MATCH(TRUE,OFFSET(INDIRECT($AC$3),SUM($AD$4:$AD10),0),0)</f>
        <v>#N/A</v>
      </c>
      <c r="AE11" s="184" t="e">
        <f ca="1">INDEX(INDIRECT($Z$3),SUM($AD$4:$AD11))</f>
        <v>#N/A</v>
      </c>
      <c r="AF11" s="184" t="b">
        <f ca="1">IF(ISERROR(MATCH(AE11,INDIRECT(ProductTable!$O$4),0)),FALSE,TRUE)</f>
        <v>0</v>
      </c>
      <c r="AG11" s="184" t="e">
        <f ca="1">MATCH(TRUE,OFFSET(INDIRECT($AF$3),SUM($AG$4:$AG10),0),0)</f>
        <v>#N/A</v>
      </c>
      <c r="AH11" s="184" t="str">
        <f ca="1">IF(ISERROR(AG11),"",INDEX(INDIRECT($AE$3),SUM($AG$4:$AG11)))</f>
        <v/>
      </c>
      <c r="AJ11" s="184">
        <f ca="1">MATCH(TRUE,OFFSET(INDIRECT(INDEX(INDIRECT(CT_SAtoC1!$A$5),MATCH(SelectionTables!$K$4,INDIRECT(CT_SAtoC1!$G$2),0),0)),0,SUM($AJ$4:$AJ10),1,ProductTable!$C$2-SUM($AJ$4:$AJ10)),0)</f>
        <v>1</v>
      </c>
      <c r="AK11" s="251" t="str">
        <f ca="1">INDEX(INDIRECT(CT_SAtoC1!$G$3),1,SUM($AJ$4:$AJ11))</f>
        <v>O-9a-Cable 1m</v>
      </c>
      <c r="AL11" s="184" t="e">
        <f ca="1">MATCH(TRUE,OFFSET(INDIRECT(INDEX(INDIRECT(CT_C1toANT!$B$4),0,MATCH(SelectionTables!$J$4,INDIRECT(CT_C1toANT!$G$3),0))),SUM(AL$4:AL10),0,ProductTable!$M$2-SUM(AL$4:AL10)),0)</f>
        <v>#REF!</v>
      </c>
      <c r="AM11" s="251" t="str">
        <f ca="1">IF(ISERROR(AL11),"",INDEX(INDIRECT(CT_C1toANT!$G$2),SUM(AL$4:AL11)))</f>
        <v/>
      </c>
      <c r="AN11" s="184" t="b">
        <f t="shared" ca="1" si="1"/>
        <v>0</v>
      </c>
      <c r="AO11" s="184" t="e">
        <f ca="1">MATCH(TRUE,OFFSET(INDIRECT(AN$3),SUM(AO$4:AO10),0),0)</f>
        <v>#N/A</v>
      </c>
      <c r="AP11" s="184" t="e">
        <f ca="1">INDEX(INDIRECT(AK$3),SUM(AO$4:AO11))</f>
        <v>#N/A</v>
      </c>
      <c r="AQ11" s="184" t="b">
        <f ca="1">IF(ISERROR(MATCH(AP11,INDIRECT(ProductTable!$AI$4),0)),FALSE,TRUE)</f>
        <v>0</v>
      </c>
      <c r="AR11" s="184" t="e">
        <f ca="1">MATCH(TRUE,OFFSET(INDIRECT($AQ$3),SUM($AR$4:$AR10),0),0)</f>
        <v>#N/A</v>
      </c>
      <c r="AS11" s="184" t="str">
        <f ca="1">IF(ISERROR(AR11),"",INDEX(INDIRECT(AP$3),SUM(AR$4:AR11)))</f>
        <v/>
      </c>
      <c r="AU11" s="184" t="str">
        <f ca="1">IF(OR(EXACT(SelectionTables!$I$4,ProductTable!$L$7),EXACT(SelectionTables!$I$4,"")),"",ProductTable!T14)</f>
        <v/>
      </c>
      <c r="AW11" s="540">
        <f ca="1">MATCH(TRUE,OFFSET(INDIRECT(INDEX(INDIRECT(CT_STAtoANT!$A$5),MATCH(SelectionTables!$G$4,INDIRECT(CT_STAtoANT!$G$2),0),0)),0,SUM($AW$4:$AW10),1,ProductTable!$H$2-SUM($AW$4:$AW10)),0)</f>
        <v>1</v>
      </c>
      <c r="AX11" s="541" t="str">
        <f ca="1">INDEX(INDIRECT(CT_STAtoANT!$G$3),1,SUM($AW$4:$AW11))</f>
        <v>AirLancer ON-Q90ag</v>
      </c>
      <c r="AY11" s="541" t="b">
        <f ca="1">IF(ISERROR(MATCH(AX11,INDIRECT(ProductTable!$J$4),0)),FALSE,TRUE)</f>
        <v>1</v>
      </c>
      <c r="AZ11" s="541">
        <f ca="1">MATCH(TRUE,OFFSET(INDIRECT($AY$3),SUM($AZ$4:$AZ10),0,ProductTable!$H$2-SUM($AZ$4:$AZ10),1),0)</f>
        <v>1</v>
      </c>
      <c r="BA11" s="541" t="str">
        <f ca="1">IF(ISERROR($AZ11),"",INDEX(INDIRECT($AX$3),SUM($AZ$4:$AZ11)))</f>
        <v>AirLancer ON-Q90ag</v>
      </c>
      <c r="BB11" s="541">
        <f ca="1">MATCH(TRUE,OFFSET(INDIRECT(INDEX(INDIRECT(CT_APtoANT!$A$5),MATCH(SelectionTables!$H$4,INDIRECT(CT_APtoANT!$G$2),0),0)),0,SUM($BB$4:$BB10),1,ProductTable!$H$2-SUM($BB$4:$BB10)),0)</f>
        <v>1</v>
      </c>
      <c r="BC11" s="541" t="str">
        <f ca="1">INDEX(INDIRECT(CT_APtoANT!$G$3),1,SUM($BB$4:$BB11))</f>
        <v>AirLancer ON-Q90ag</v>
      </c>
      <c r="BD11" s="541" t="b">
        <f t="shared" ca="1" si="2"/>
        <v>1</v>
      </c>
      <c r="BE11" s="541">
        <f ca="1">MATCH(TRUE,OFFSET(INDIRECT($BD$3),SUM($BE$4:$BE10),0,ProductTable!$H$2-SUM($BE$4:$BE10),1),0)</f>
        <v>1</v>
      </c>
      <c r="BF11" s="541" t="str">
        <f ca="1">IF(ISERROR($BE11),"",INDEX(INDIRECT($BA$3),SUM($BE$4:$BE11)))</f>
        <v>AirLancer ON-Q90ag</v>
      </c>
      <c r="BH11" s="541">
        <f ca="1">MATCH(TRUE,OFFSET(INDIRECT(INDEX(INDIRECT(CT_APtoC1!$A$5),MATCH(SelectionTables!$H$4,INDIRECT(CT_APtoC1!$G$2),0),0)),0,SUM($BH$4:$BH10),1,ProductTable!$AG$2-SUM($BH$4:$BH10)),0)</f>
        <v>1</v>
      </c>
      <c r="BI11" s="541" t="str">
        <f ca="1">INDEX(INDIRECT(CT_APtoC1!$G$3),1,SUM($BH$4:$BH11))</f>
        <v>O-9a-Cable 1m</v>
      </c>
      <c r="BJ11" s="541" t="b">
        <f ca="1">IF(ISERROR(MATCH(BI11,INDIRECT(ProductTable!$AI$4),0)),FALSE,TRUE)</f>
        <v>0</v>
      </c>
      <c r="BK11" s="541" t="e">
        <f ca="1">MATCH(TRUE,OFFSET(INDIRECT($BJ$3),SUM($BK$4:$BK10),0,ProductTable!$AG$2-SUM($BK$4:$BK10),1),0)</f>
        <v>#N/A</v>
      </c>
      <c r="BL11" s="541" t="str">
        <f ca="1">IF(ISERROR($BK11),"",INDEX(INDIRECT($BI$3),SUM($BK$4:$BK11)))</f>
        <v/>
      </c>
    </row>
    <row r="12" spans="2:64" x14ac:dyDescent="0.25">
      <c r="B12" s="134" t="e">
        <f ca="1">MATCH(TRUE,OFFSET(INDIRECT(INDEX(INDIRECT(CT_APtoWLAN!$A$5),MATCH(SelectionTables!$H$4,INDIRECT(CT_APtoWLAN!$G$2),0),0)),0,SUM($B$4:$B11),1,ProductTable!$W$2-SUM($B$4:$B11)),0)</f>
        <v>#N/A</v>
      </c>
      <c r="C12" s="134" t="e">
        <f ca="1">INDEX(INDIRECT(CT_APtoWLAN!$G$3),1,SUM($B$4:$B12))</f>
        <v>#N/A</v>
      </c>
      <c r="D12" s="134" t="b">
        <f ca="1">IF(ISERROR(MATCH(C12,INDIRECT(ProductTable!$Y$4),0)),FALSE,TRUE)</f>
        <v>0</v>
      </c>
      <c r="E12" s="134" t="e">
        <f ca="1">MATCH(TRUE,OFFSET(INDIRECT($D$3),SUM($E$4:$E11),0,ProductTable!$W$2-SUM($E$4:$E11),1),0)</f>
        <v>#N/A</v>
      </c>
      <c r="F12" s="184" t="str">
        <f ca="1">IF(ISERROR($E12),"",INDEX(INDIRECT($C$3),SUM($E$4:$E12)))</f>
        <v/>
      </c>
      <c r="H12" s="134" t="e">
        <f ca="1">MATCH(TRUE,OFFSET(INDIRECT(INDEX(INDIRECT(CT_APtoSTA!$A$5),MATCH(SelectionTables!$H$4,INDIRECT(CT_APtoSTA!$G$2),0),0)),0,SUM($H$4:$H11),1,ProductTable!$AB$2-SUM($H$4:$H11)),0)</f>
        <v>#REF!</v>
      </c>
      <c r="I12" s="248" t="e">
        <f ca="1">INDEX(INDIRECT(CT_APtoSTA!$G$3),1,SUM($H$4:$H12))</f>
        <v>#REF!</v>
      </c>
      <c r="J12" s="134" t="e">
        <f ca="1">MATCH(TRUE,OFFSET(INDIRECT(INDEX(INDIRECT(CT_STAtoWLAN!$B$4),0,MATCH(SelectionTables!$N$4,INDIRECT(CT_STAtoWLAN!$G$3),0))),SUM($J$4:$J11),0,ProductTable!$AB$2-SUM($J$4:$J11)),0)</f>
        <v>#REF!</v>
      </c>
      <c r="K12" s="248" t="str">
        <f ca="1">IF(ISERROR($J12),"",INDEX(INDIRECT(CT_STAtoWLAN!$G$2),SUM($J$4:$J12)))</f>
        <v/>
      </c>
      <c r="L12" s="184" t="b">
        <f t="shared" ca="1" si="3"/>
        <v>0</v>
      </c>
      <c r="M12" s="184" t="e">
        <f ca="1">MATCH(TRUE,OFFSET(INDIRECT($L$3),SUM($M$4:$M11),0),0)</f>
        <v>#N/A</v>
      </c>
      <c r="N12" s="251" t="str">
        <f ca="1">IF(ISERROR(M12),"",INDEX(INDIRECT($I$3),SUM($M$4:$M12)))</f>
        <v/>
      </c>
      <c r="O12" s="184" t="b">
        <f ca="1">IF(N12="",FALSE,IF(ISERROR(MATCH(N12,INDIRECT(ProductTable!$AD$4),0)),FALSE,TRUE))</f>
        <v>0</v>
      </c>
      <c r="P12" s="184" t="e">
        <f ca="1">MATCH(TRUE,OFFSET(INDIRECT($O$3),SUM($P$4:$P11),0),0)</f>
        <v>#N/A</v>
      </c>
      <c r="Q12" s="184" t="str">
        <f ca="1">IF(ISERROR(P12),"",INDEX(INDIRECT($N$3),SUM($P$4:$P12)))</f>
        <v/>
      </c>
      <c r="S12" s="134">
        <f ca="1">MATCH(TRUE,OFFSET(INDIRECT(INDEX(INDIRECT(CT_STAtoANT!$A$5),MATCH(SelectionTables!$G$4,INDIRECT(CT_STAtoANT!$G$2),0),0)),0,SUM($S$4:$S11),1,ProductTable!$H$2-SUM($S$4:$S11)),0)</f>
        <v>1</v>
      </c>
      <c r="T12" s="184" t="str">
        <f ca="1">INDEX(INDIRECT(CT_STAtoANT!$G$3),1,SUM($S$4:$S12))</f>
        <v>AirLancer ON-Q60ag</v>
      </c>
      <c r="U12" s="184" t="b">
        <f ca="1">IF(ISERROR(MATCH(T12,INDIRECT(ProductTable!$J$4),0)),FALSE,TRUE)</f>
        <v>1</v>
      </c>
      <c r="V12" s="184">
        <f ca="1">MATCH(TRUE,OFFSET(INDIRECT($U$3),SUM($V$4:$V11),0,ProductTable!$H$2-SUM($V$4:$V11),1),0)</f>
        <v>1</v>
      </c>
      <c r="W12" s="184" t="str">
        <f ca="1">IF(ISERROR($V12),"",INDEX(INDIRECT($T$3),SUM($V$4:$V12)))</f>
        <v>AirLancer ON-Q60ag</v>
      </c>
      <c r="Y12" s="184">
        <f ca="1">MATCH(TRUE,OFFSET(INDIRECT(INDEX(INDIRECT(CT_APtoC1!$A$5),MATCH(SelectionTables!$H$4,INDIRECT(CT_APtoC1!$G$2),0),0)),0,SUM($Y$4:$Y11),1,ProductTable!$C$2-SUM($Y$4:$Y11)),0)</f>
        <v>1</v>
      </c>
      <c r="Z12" s="251" t="str">
        <f ca="1">INDEX(INDIRECT(CT_APtoC1!$G$3),1,SUM($Y$4:$Y12))</f>
        <v>O-D60a-Cable 1m</v>
      </c>
      <c r="AA12" s="184" t="e">
        <f ca="1">MATCH(TRUE,OFFSET(INDIRECT(INDEX(INDIRECT(CT_C1toANT!$B$4),0,MATCH(SelectionTables!$J$4,INDIRECT(CT_C1toANT!$G$3),0))),SUM(AA$4:AA11),0,ProductTable!$M$2-SUM(AA$4:AA11)),0)</f>
        <v>#REF!</v>
      </c>
      <c r="AB12" s="251" t="str">
        <f ca="1">IF(ISERROR(AA12),"",INDEX(INDIRECT(CT_C1toANT!$G$2),SUM(AA$4:AA12)))</f>
        <v/>
      </c>
      <c r="AC12" s="184" t="b">
        <f t="shared" ca="1" si="0"/>
        <v>0</v>
      </c>
      <c r="AD12" s="184" t="e">
        <f ca="1">MATCH(TRUE,OFFSET(INDIRECT($AC$3),SUM($AD$4:$AD11),0),0)</f>
        <v>#N/A</v>
      </c>
      <c r="AE12" s="184" t="e">
        <f ca="1">INDEX(INDIRECT($Z$3),SUM($AD$4:$AD12))</f>
        <v>#N/A</v>
      </c>
      <c r="AF12" s="184" t="b">
        <f ca="1">IF(ISERROR(MATCH(AE12,INDIRECT(ProductTable!$O$4),0)),FALSE,TRUE)</f>
        <v>0</v>
      </c>
      <c r="AG12" s="184" t="e">
        <f ca="1">MATCH(TRUE,OFFSET(INDIRECT($AF$3),SUM($AG$4:$AG11),0),0)</f>
        <v>#N/A</v>
      </c>
      <c r="AH12" s="184" t="str">
        <f ca="1">IF(ISERROR(AG12),"",INDEX(INDIRECT($AE$3),SUM($AG$4:$AG12)))</f>
        <v/>
      </c>
      <c r="AJ12" s="184">
        <f ca="1">MATCH(TRUE,OFFSET(INDIRECT(INDEX(INDIRECT(CT_SAtoC1!$A$5),MATCH(SelectionTables!$K$4,INDIRECT(CT_SAtoC1!$G$2),0),0)),0,SUM($AJ$4:$AJ11),1,ProductTable!$C$2-SUM($AJ$4:$AJ11)),0)</f>
        <v>1</v>
      </c>
      <c r="AK12" s="251" t="str">
        <f ca="1">INDEX(INDIRECT(CT_SAtoC1!$G$3),1,SUM($AJ$4:$AJ12))</f>
        <v>O-D60a-Cable 1m</v>
      </c>
      <c r="AL12" s="184" t="e">
        <f ca="1">MATCH(TRUE,OFFSET(INDIRECT(INDEX(INDIRECT(CT_C1toANT!$B$4),0,MATCH(SelectionTables!$J$4,INDIRECT(CT_C1toANT!$G$3),0))),SUM(AL$4:AL11),0,ProductTable!$M$2-SUM(AL$4:AL11)),0)</f>
        <v>#REF!</v>
      </c>
      <c r="AM12" s="251" t="str">
        <f ca="1">IF(ISERROR(AL12),"",INDEX(INDIRECT(CT_C1toANT!$G$2),SUM(AL$4:AL12)))</f>
        <v/>
      </c>
      <c r="AN12" s="184" t="b">
        <f t="shared" ca="1" si="1"/>
        <v>0</v>
      </c>
      <c r="AO12" s="184" t="e">
        <f ca="1">MATCH(TRUE,OFFSET(INDIRECT(AN$3),SUM(AO$4:AO11),0),0)</f>
        <v>#N/A</v>
      </c>
      <c r="AP12" s="184" t="e">
        <f ca="1">INDEX(INDIRECT(AK$3),SUM(AO$4:AO12))</f>
        <v>#N/A</v>
      </c>
      <c r="AQ12" s="184" t="b">
        <f ca="1">IF(ISERROR(MATCH(AP12,INDIRECT(ProductTable!$AI$4),0)),FALSE,TRUE)</f>
        <v>0</v>
      </c>
      <c r="AR12" s="184" t="e">
        <f ca="1">MATCH(TRUE,OFFSET(INDIRECT($AQ$3),SUM($AR$4:$AR11),0),0)</f>
        <v>#N/A</v>
      </c>
      <c r="AS12" s="184" t="str">
        <f ca="1">IF(ISERROR(AR12),"",INDEX(INDIRECT(AP$3),SUM(AR$4:AR12)))</f>
        <v/>
      </c>
      <c r="AU12" s="184" t="str">
        <f ca="1">IF(OR(EXACT(SelectionTables!$I$4,ProductTable!$L$7),EXACT(SelectionTables!$I$4,"")),"",ProductTable!T15)</f>
        <v/>
      </c>
      <c r="AW12" s="540">
        <f ca="1">MATCH(TRUE,OFFSET(INDIRECT(INDEX(INDIRECT(CT_STAtoANT!$A$5),MATCH(SelectionTables!$G$4,INDIRECT(CT_STAtoANT!$G$2),0),0)),0,SUM($AW$4:$AW11),1,ProductTable!$H$2-SUM($AW$4:$AW11)),0)</f>
        <v>1</v>
      </c>
      <c r="AX12" s="541" t="str">
        <f ca="1">INDEX(INDIRECT(CT_STAtoANT!$G$3),1,SUM($AW$4:$AW12))</f>
        <v>AirLancer ON-Q60ag</v>
      </c>
      <c r="AY12" s="541" t="b">
        <f ca="1">IF(ISERROR(MATCH(AX12,INDIRECT(ProductTable!$J$4),0)),FALSE,TRUE)</f>
        <v>1</v>
      </c>
      <c r="AZ12" s="541">
        <f ca="1">MATCH(TRUE,OFFSET(INDIRECT($AY$3),SUM($AZ$4:$AZ11),0,ProductTable!$H$2-SUM($AZ$4:$AZ11),1),0)</f>
        <v>1</v>
      </c>
      <c r="BA12" s="541" t="str">
        <f ca="1">IF(ISERROR($AZ12),"",INDEX(INDIRECT($AX$3),SUM($AZ$4:$AZ12)))</f>
        <v>AirLancer ON-Q60ag</v>
      </c>
      <c r="BB12" s="541">
        <f ca="1">MATCH(TRUE,OFFSET(INDIRECT(INDEX(INDIRECT(CT_APtoANT!$A$5),MATCH(SelectionTables!$H$4,INDIRECT(CT_APtoANT!$G$2),0),0)),0,SUM($BB$4:$BB11),1,ProductTable!$H$2-SUM($BB$4:$BB11)),0)</f>
        <v>1</v>
      </c>
      <c r="BC12" s="541" t="str">
        <f ca="1">INDEX(INDIRECT(CT_APtoANT!$G$3),1,SUM($BB$4:$BB12))</f>
        <v>AirLancer ON-Q60ag</v>
      </c>
      <c r="BD12" s="541" t="b">
        <f t="shared" ca="1" si="2"/>
        <v>1</v>
      </c>
      <c r="BE12" s="541">
        <f ca="1">MATCH(TRUE,OFFSET(INDIRECT($BD$3),SUM($BE$4:$BE11),0,ProductTable!$H$2-SUM($BE$4:$BE11),1),0)</f>
        <v>1</v>
      </c>
      <c r="BF12" s="541" t="str">
        <f ca="1">IF(ISERROR($BE12),"",INDEX(INDIRECT($BA$3),SUM($BE$4:$BE12)))</f>
        <v>AirLancer ON-Q60ag</v>
      </c>
      <c r="BH12" s="541">
        <f ca="1">MATCH(TRUE,OFFSET(INDIRECT(INDEX(INDIRECT(CT_APtoC1!$A$5),MATCH(SelectionTables!$H$4,INDIRECT(CT_APtoC1!$G$2),0),0)),0,SUM($BH$4:$BH11),1,ProductTable!$AG$2-SUM($BH$4:$BH11)),0)</f>
        <v>1</v>
      </c>
      <c r="BI12" s="541" t="str">
        <f ca="1">INDEX(INDIRECT(CT_APtoC1!$G$3),1,SUM($BH$4:$BH12))</f>
        <v>O-D60a-Cable 1m</v>
      </c>
      <c r="BJ12" s="541" t="b">
        <f ca="1">IF(ISERROR(MATCH(BI12,INDIRECT(ProductTable!$AI$4),0)),FALSE,TRUE)</f>
        <v>0</v>
      </c>
      <c r="BK12" s="541" t="e">
        <f ca="1">MATCH(TRUE,OFFSET(INDIRECT($BJ$3),SUM($BK$4:$BK11),0,ProductTable!$AG$2-SUM($BK$4:$BK11),1),0)</f>
        <v>#N/A</v>
      </c>
      <c r="BL12" s="541" t="str">
        <f ca="1">IF(ISERROR($BK12),"",INDEX(INDIRECT($BI$3),SUM($BK$4:$BK12)))</f>
        <v/>
      </c>
    </row>
    <row r="13" spans="2:64" x14ac:dyDescent="0.25">
      <c r="B13" s="134" t="e">
        <f ca="1">MATCH(TRUE,OFFSET(INDIRECT(INDEX(INDIRECT(CT_APtoWLAN!$A$5),MATCH(SelectionTables!$H$4,INDIRECT(CT_APtoWLAN!$G$2),0),0)),0,SUM($B$4:$B12),1,ProductTable!$W$2-SUM($B$4:$B12)),0)</f>
        <v>#N/A</v>
      </c>
      <c r="C13" s="134" t="e">
        <f ca="1">INDEX(INDIRECT(CT_APtoWLAN!$G$3),1,SUM($B$4:$B13))</f>
        <v>#N/A</v>
      </c>
      <c r="D13" s="134" t="b">
        <f ca="1">IF(ISERROR(MATCH(C13,INDIRECT(ProductTable!$Y$4),0)),FALSE,TRUE)</f>
        <v>0</v>
      </c>
      <c r="E13" s="134" t="e">
        <f ca="1">MATCH(TRUE,OFFSET(INDIRECT($D$3),SUM($E$4:$E12),0,ProductTable!$W$2-SUM($E$4:$E12),1),0)</f>
        <v>#N/A</v>
      </c>
      <c r="F13" s="184" t="str">
        <f ca="1">IF(ISERROR($E13),"",INDEX(INDIRECT($C$3),SUM($E$4:$E13)))</f>
        <v/>
      </c>
      <c r="H13" s="134" t="e">
        <f ca="1">MATCH(TRUE,OFFSET(INDIRECT(INDEX(INDIRECT(CT_APtoSTA!$A$5),MATCH(SelectionTables!$H$4,INDIRECT(CT_APtoSTA!$G$2),0),0)),0,SUM($H$4:$H12),1,ProductTable!$AB$2-SUM($H$4:$H12)),0)</f>
        <v>#REF!</v>
      </c>
      <c r="I13" s="248" t="e">
        <f ca="1">INDEX(INDIRECT(CT_APtoSTA!$G$3),1,SUM($H$4:$H13))</f>
        <v>#REF!</v>
      </c>
      <c r="J13" s="134" t="e">
        <f ca="1">MATCH(TRUE,OFFSET(INDIRECT(INDEX(INDIRECT(CT_STAtoWLAN!$B$4),0,MATCH(SelectionTables!$N$4,INDIRECT(CT_STAtoWLAN!$G$3),0))),SUM($J$4:$J12),0,ProductTable!$AB$2-SUM($J$4:$J12)),0)</f>
        <v>#REF!</v>
      </c>
      <c r="K13" s="248" t="str">
        <f ca="1">IF(ISERROR($J13),"",INDEX(INDIRECT(CT_STAtoWLAN!$G$2),SUM($J$4:$J13)))</f>
        <v/>
      </c>
      <c r="L13" s="184" t="b">
        <f t="shared" ca="1" si="3"/>
        <v>0</v>
      </c>
      <c r="M13" s="184" t="e">
        <f ca="1">MATCH(TRUE,OFFSET(INDIRECT($L$3),SUM($M$4:$M12),0),0)</f>
        <v>#N/A</v>
      </c>
      <c r="N13" s="251" t="str">
        <f ca="1">IF(ISERROR(M13),"",INDEX(INDIRECT($I$3),SUM($M$4:$M13)))</f>
        <v/>
      </c>
      <c r="O13" s="184" t="b">
        <f ca="1">IF(N13="",FALSE,IF(ISERROR(MATCH(N13,INDIRECT(ProductTable!$AD$4),0)),FALSE,TRUE))</f>
        <v>0</v>
      </c>
      <c r="P13" s="184" t="e">
        <f ca="1">MATCH(TRUE,OFFSET(INDIRECT($O$3),SUM($P$4:$P12),0),0)</f>
        <v>#N/A</v>
      </c>
      <c r="Q13" s="184" t="str">
        <f ca="1">IF(ISERROR(P13),"",INDEX(INDIRECT($N$3),SUM($P$4:$P13)))</f>
        <v/>
      </c>
      <c r="S13" s="134">
        <f ca="1">MATCH(TRUE,OFFSET(INDIRECT(INDEX(INDIRECT(CT_STAtoANT!$A$5),MATCH(SelectionTables!$G$4,INDIRECT(CT_STAtoANT!$G$2),0),0)),0,SUM($S$4:$S12),1,ProductTable!$H$2-SUM($S$4:$S12)),0)</f>
        <v>1</v>
      </c>
      <c r="T13" s="184" t="str">
        <f ca="1">INDEX(INDIRECT(CT_STAtoANT!$G$3),1,SUM($S$4:$S13))</f>
        <v>AirLancer ON-QT60</v>
      </c>
      <c r="U13" s="184" t="b">
        <f ca="1">IF(ISERROR(MATCH(T13,INDIRECT(ProductTable!$J$4),0)),FALSE,TRUE)</f>
        <v>1</v>
      </c>
      <c r="V13" s="184">
        <f ca="1">MATCH(TRUE,OFFSET(INDIRECT($U$3),SUM($V$4:$V12),0,ProductTable!$H$2-SUM($V$4:$V12),1),0)</f>
        <v>1</v>
      </c>
      <c r="W13" s="184" t="str">
        <f ca="1">IF(ISERROR($V13),"",INDEX(INDIRECT($T$3),SUM($V$4:$V13)))</f>
        <v>AirLancer ON-QT60</v>
      </c>
      <c r="Y13" s="184">
        <f ca="1">MATCH(TRUE,OFFSET(INDIRECT(INDEX(INDIRECT(CT_APtoC1!$A$5),MATCH(SelectionTables!$H$4,INDIRECT(CT_APtoC1!$G$2),0),0)),0,SUM($Y$4:$Y12),1,ProductTable!$C$2-SUM($Y$4:$Y12)),0)</f>
        <v>1</v>
      </c>
      <c r="Z13" s="251" t="str">
        <f ca="1">INDEX(INDIRECT(CT_APtoC1!$G$3),1,SUM($Y$4:$Y13))</f>
        <v>O-D80g-Cable 1m</v>
      </c>
      <c r="AA13" s="184" t="e">
        <f ca="1">MATCH(TRUE,OFFSET(INDIRECT(INDEX(INDIRECT(CT_C1toANT!$B$4),0,MATCH(SelectionTables!$J$4,INDIRECT(CT_C1toANT!$G$3),0))),SUM(AA$4:AA12),0,ProductTable!$M$2-SUM(AA$4:AA12)),0)</f>
        <v>#REF!</v>
      </c>
      <c r="AB13" s="251" t="str">
        <f ca="1">IF(ISERROR(AA13),"",INDEX(INDIRECT(CT_C1toANT!$G$2),SUM(AA$4:AA13)))</f>
        <v/>
      </c>
      <c r="AC13" s="184" t="b">
        <f t="shared" ca="1" si="0"/>
        <v>0</v>
      </c>
      <c r="AD13" s="184" t="e">
        <f ca="1">MATCH(TRUE,OFFSET(INDIRECT($AC$3),SUM($AD$4:$AD12),0),0)</f>
        <v>#N/A</v>
      </c>
      <c r="AE13" s="184" t="e">
        <f ca="1">INDEX(INDIRECT($Z$3),SUM($AD$4:$AD13))</f>
        <v>#N/A</v>
      </c>
      <c r="AF13" s="184" t="b">
        <f ca="1">IF(ISERROR(MATCH(AE13,INDIRECT(ProductTable!$O$4),0)),FALSE,TRUE)</f>
        <v>0</v>
      </c>
      <c r="AG13" s="184" t="e">
        <f ca="1">MATCH(TRUE,OFFSET(INDIRECT($AF$3),SUM($AG$4:$AG12),0),0)</f>
        <v>#N/A</v>
      </c>
      <c r="AH13" s="184" t="str">
        <f ca="1">IF(ISERROR(AG13),"",INDEX(INDIRECT($AE$3),SUM($AG$4:$AG13)))</f>
        <v/>
      </c>
      <c r="AJ13" s="184">
        <f ca="1">MATCH(TRUE,OFFSET(INDIRECT(INDEX(INDIRECT(CT_SAtoC1!$A$5),MATCH(SelectionTables!$K$4,INDIRECT(CT_SAtoC1!$G$2),0),0)),0,SUM($AJ$4:$AJ12),1,ProductTable!$C$2-SUM($AJ$4:$AJ12)),0)</f>
        <v>1</v>
      </c>
      <c r="AK13" s="251" t="str">
        <f ca="1">INDEX(INDIRECT(CT_SAtoC1!$G$3),1,SUM($AJ$4:$AJ13))</f>
        <v>O-D80g-Cable 1m</v>
      </c>
      <c r="AL13" s="184" t="e">
        <f ca="1">MATCH(TRUE,OFFSET(INDIRECT(INDEX(INDIRECT(CT_C1toANT!$B$4),0,MATCH(SelectionTables!$J$4,INDIRECT(CT_C1toANT!$G$3),0))),SUM(AL$4:AL12),0,ProductTable!$M$2-SUM(AL$4:AL12)),0)</f>
        <v>#REF!</v>
      </c>
      <c r="AM13" s="251" t="str">
        <f ca="1">IF(ISERROR(AL13),"",INDEX(INDIRECT(CT_C1toANT!$G$2),SUM(AL$4:AL13)))</f>
        <v/>
      </c>
      <c r="AN13" s="184" t="b">
        <f t="shared" ca="1" si="1"/>
        <v>0</v>
      </c>
      <c r="AO13" s="184" t="e">
        <f ca="1">MATCH(TRUE,OFFSET(INDIRECT(AN$3),SUM(AO$4:AO12),0),0)</f>
        <v>#N/A</v>
      </c>
      <c r="AP13" s="184" t="e">
        <f ca="1">INDEX(INDIRECT(AK$3),SUM(AO$4:AO13))</f>
        <v>#N/A</v>
      </c>
      <c r="AQ13" s="184" t="b">
        <f ca="1">IF(ISERROR(MATCH(AP13,INDIRECT(ProductTable!$AI$4),0)),FALSE,TRUE)</f>
        <v>0</v>
      </c>
      <c r="AR13" s="184" t="e">
        <f ca="1">MATCH(TRUE,OFFSET(INDIRECT($AQ$3),SUM($AR$4:$AR12),0),0)</f>
        <v>#N/A</v>
      </c>
      <c r="AS13" s="184" t="str">
        <f ca="1">IF(ISERROR(AR13),"",INDEX(INDIRECT(AP$3),SUM(AR$4:AR13)))</f>
        <v/>
      </c>
      <c r="AU13" s="184" t="str">
        <f ca="1">IF(OR(EXACT(SelectionTables!$I$4,ProductTable!$L$7),EXACT(SelectionTables!$I$4,"")),"",ProductTable!T16)</f>
        <v/>
      </c>
      <c r="AW13" s="540">
        <f ca="1">MATCH(TRUE,OFFSET(INDIRECT(INDEX(INDIRECT(CT_STAtoANT!$A$5),MATCH(SelectionTables!$G$4,INDIRECT(CT_STAtoANT!$G$2),0),0)),0,SUM($AW$4:$AW12),1,ProductTable!$H$2-SUM($AW$4:$AW12)),0)</f>
        <v>1</v>
      </c>
      <c r="AX13" s="541" t="str">
        <f ca="1">INDEX(INDIRECT(CT_STAtoANT!$G$3),1,SUM($AW$4:$AW13))</f>
        <v>AirLancer ON-QT60</v>
      </c>
      <c r="AY13" s="541" t="b">
        <f ca="1">IF(ISERROR(MATCH(AX13,INDIRECT(ProductTable!$J$4),0)),FALSE,TRUE)</f>
        <v>1</v>
      </c>
      <c r="AZ13" s="541">
        <f ca="1">MATCH(TRUE,OFFSET(INDIRECT($AY$3),SUM($AZ$4:$AZ12),0,ProductTable!$H$2-SUM($AZ$4:$AZ12),1),0)</f>
        <v>1</v>
      </c>
      <c r="BA13" s="541" t="str">
        <f ca="1">IF(ISERROR($AZ13),"",INDEX(INDIRECT($AX$3),SUM($AZ$4:$AZ13)))</f>
        <v>AirLancer ON-QT60</v>
      </c>
      <c r="BB13" s="541">
        <f ca="1">MATCH(TRUE,OFFSET(INDIRECT(INDEX(INDIRECT(CT_APtoANT!$A$5),MATCH(SelectionTables!$H$4,INDIRECT(CT_APtoANT!$G$2),0),0)),0,SUM($BB$4:$BB12),1,ProductTable!$H$2-SUM($BB$4:$BB12)),0)</f>
        <v>1</v>
      </c>
      <c r="BC13" s="541" t="str">
        <f ca="1">INDEX(INDIRECT(CT_APtoANT!$G$3),1,SUM($BB$4:$BB13))</f>
        <v>AirLancer ON-QT60</v>
      </c>
      <c r="BD13" s="541" t="b">
        <f t="shared" ca="1" si="2"/>
        <v>1</v>
      </c>
      <c r="BE13" s="541">
        <f ca="1">MATCH(TRUE,OFFSET(INDIRECT($BD$3),SUM($BE$4:$BE12),0,ProductTable!$H$2-SUM($BE$4:$BE12),1),0)</f>
        <v>1</v>
      </c>
      <c r="BF13" s="541" t="str">
        <f ca="1">IF(ISERROR($BE13),"",INDEX(INDIRECT($BA$3),SUM($BE$4:$BE13)))</f>
        <v>AirLancer ON-QT60</v>
      </c>
      <c r="BH13" s="541">
        <f ca="1">MATCH(TRUE,OFFSET(INDIRECT(INDEX(INDIRECT(CT_APtoC1!$A$5),MATCH(SelectionTables!$H$4,INDIRECT(CT_APtoC1!$G$2),0),0)),0,SUM($BH$4:$BH12),1,ProductTable!$AG$2-SUM($BH$4:$BH12)),0)</f>
        <v>1</v>
      </c>
      <c r="BI13" s="541" t="str">
        <f ca="1">INDEX(INDIRECT(CT_APtoC1!$G$3),1,SUM($BH$4:$BH13))</f>
        <v>O-D80g-Cable 1m</v>
      </c>
      <c r="BJ13" s="541" t="b">
        <f ca="1">IF(ISERROR(MATCH(BI13,INDIRECT(ProductTable!$AI$4),0)),FALSE,TRUE)</f>
        <v>0</v>
      </c>
      <c r="BK13" s="541" t="e">
        <f ca="1">MATCH(TRUE,OFFSET(INDIRECT($BJ$3),SUM($BK$4:$BK12),0,ProductTable!$AG$2-SUM($BK$4:$BK12),1),0)</f>
        <v>#N/A</v>
      </c>
      <c r="BL13" s="541" t="str">
        <f ca="1">IF(ISERROR($BK13),"",INDEX(INDIRECT($BI$3),SUM($BK$4:$BK13)))</f>
        <v/>
      </c>
    </row>
    <row r="14" spans="2:64" x14ac:dyDescent="0.25">
      <c r="B14" s="134" t="e">
        <f ca="1">MATCH(TRUE,OFFSET(INDIRECT(INDEX(INDIRECT(CT_APtoWLAN!$A$5),MATCH(SelectionTables!$H$4,INDIRECT(CT_APtoWLAN!$G$2),0),0)),0,SUM($B$4:$B13),1,ProductTable!$W$2-SUM($B$4:$B13)),0)</f>
        <v>#N/A</v>
      </c>
      <c r="C14" s="134" t="e">
        <f ca="1">INDEX(INDIRECT(CT_APtoWLAN!$G$3),1,SUM($B$4:$B14))</f>
        <v>#N/A</v>
      </c>
      <c r="D14" s="134" t="b">
        <f ca="1">IF(ISERROR(MATCH(C14,INDIRECT(ProductTable!$Y$4),0)),FALSE,TRUE)</f>
        <v>0</v>
      </c>
      <c r="E14" s="134" t="e">
        <f ca="1">MATCH(TRUE,OFFSET(INDIRECT($D$3),SUM($E$4:$E13),0,ProductTable!$W$2-SUM($E$4:$E13),1),0)</f>
        <v>#N/A</v>
      </c>
      <c r="F14" s="184" t="str">
        <f ca="1">IF(ISERROR($E14),"",INDEX(INDIRECT($C$3),SUM($E$4:$E14)))</f>
        <v/>
      </c>
      <c r="H14" s="134" t="e">
        <f ca="1">MATCH(TRUE,OFFSET(INDIRECT(INDEX(INDIRECT(CT_APtoSTA!$A$5),MATCH(SelectionTables!$H$4,INDIRECT(CT_APtoSTA!$G$2),0),0)),0,SUM($H$4:$H13),1,ProductTable!$AB$2-SUM($H$4:$H13)),0)</f>
        <v>#REF!</v>
      </c>
      <c r="I14" s="248" t="e">
        <f ca="1">INDEX(INDIRECT(CT_APtoSTA!$G$3),1,SUM($H$4:$H14))</f>
        <v>#REF!</v>
      </c>
      <c r="J14" s="134" t="e">
        <f ca="1">MATCH(TRUE,OFFSET(INDIRECT(INDEX(INDIRECT(CT_STAtoWLAN!$B$4),0,MATCH(SelectionTables!$N$4,INDIRECT(CT_STAtoWLAN!$G$3),0))),SUM($J$4:$J13),0,ProductTable!$AB$2-SUM($J$4:$J13)),0)</f>
        <v>#REF!</v>
      </c>
      <c r="K14" s="248" t="str">
        <f ca="1">IF(ISERROR($J14),"",INDEX(INDIRECT(CT_STAtoWLAN!$G$2),SUM($J$4:$J14)))</f>
        <v/>
      </c>
      <c r="L14" s="184" t="b">
        <f t="shared" ca="1" si="3"/>
        <v>0</v>
      </c>
      <c r="M14" s="184" t="e">
        <f ca="1">MATCH(TRUE,OFFSET(INDIRECT($L$3),SUM($M$4:$M13),0),0)</f>
        <v>#N/A</v>
      </c>
      <c r="N14" s="251" t="str">
        <f ca="1">IF(ISERROR(M14),"",INDEX(INDIRECT($I$3),SUM($M$4:$M14)))</f>
        <v/>
      </c>
      <c r="O14" s="184" t="b">
        <f ca="1">IF(N14="",FALSE,IF(ISERROR(MATCH(N14,INDIRECT(ProductTable!$AD$4),0)),FALSE,TRUE))</f>
        <v>0</v>
      </c>
      <c r="P14" s="184" t="e">
        <f ca="1">MATCH(TRUE,OFFSET(INDIRECT($O$3),SUM($P$4:$P13),0),0)</f>
        <v>#N/A</v>
      </c>
      <c r="Q14" s="184" t="str">
        <f ca="1">IF(ISERROR(P14),"",INDEX(INDIRECT($N$3),SUM($P$4:$P14)))</f>
        <v/>
      </c>
      <c r="S14" s="134">
        <f ca="1">MATCH(TRUE,OFFSET(INDIRECT(INDEX(INDIRECT(CT_STAtoANT!$A$5),MATCH(SelectionTables!$G$4,INDIRECT(CT_STAtoANT!$G$2),0),0)),0,SUM($S$4:$S13),1,ProductTable!$H$2-SUM($S$4:$S13)),0)</f>
        <v>1</v>
      </c>
      <c r="T14" s="184" t="str">
        <f ca="1">INDEX(INDIRECT(CT_STAtoANT!$G$3),1,SUM($S$4:$S14))</f>
        <v>AirLancer ON-QT90</v>
      </c>
      <c r="U14" s="184" t="b">
        <f ca="1">IF(ISERROR(MATCH(T14,INDIRECT(ProductTable!$J$4),0)),FALSE,TRUE)</f>
        <v>1</v>
      </c>
      <c r="V14" s="184">
        <f ca="1">MATCH(TRUE,OFFSET(INDIRECT($U$3),SUM($V$4:$V13),0,ProductTable!$H$2-SUM($V$4:$V13),1),0)</f>
        <v>1</v>
      </c>
      <c r="W14" s="184" t="str">
        <f ca="1">IF(ISERROR($V14),"",INDEX(INDIRECT($T$3),SUM($V$4:$V14)))</f>
        <v>AirLancer ON-QT90</v>
      </c>
      <c r="Y14" s="184">
        <f ca="1">MATCH(TRUE,OFFSET(INDIRECT(INDEX(INDIRECT(CT_APtoC1!$A$5),MATCH(SelectionTables!$H$4,INDIRECT(CT_APtoC1!$G$2),0),0)),0,SUM($Y$4:$Y13),1,ProductTable!$C$2-SUM($Y$4:$Y13)),0)</f>
        <v>1</v>
      </c>
      <c r="Z14" s="251" t="str">
        <f ca="1">INDEX(INDIRECT(CT_APtoC1!$G$3),1,SUM($Y$4:$Y14))</f>
        <v>O-360ag-Cable 1m</v>
      </c>
      <c r="AA14" s="184" t="e">
        <f ca="1">MATCH(TRUE,OFFSET(INDIRECT(INDEX(INDIRECT(CT_C1toANT!$B$4),0,MATCH(SelectionTables!$J$4,INDIRECT(CT_C1toANT!$G$3),0))),SUM(AA$4:AA13),0,ProductTable!$M$2-SUM(AA$4:AA13)),0)</f>
        <v>#REF!</v>
      </c>
      <c r="AB14" s="251" t="str">
        <f ca="1">IF(ISERROR(AA14),"",INDEX(INDIRECT(CT_C1toANT!$G$2),SUM(AA$4:AA14)))</f>
        <v/>
      </c>
      <c r="AC14" s="184" t="b">
        <f t="shared" ca="1" si="0"/>
        <v>0</v>
      </c>
      <c r="AD14" s="184" t="e">
        <f ca="1">MATCH(TRUE,OFFSET(INDIRECT($AC$3),SUM($AD$4:$AD13),0),0)</f>
        <v>#N/A</v>
      </c>
      <c r="AE14" s="184" t="e">
        <f ca="1">INDEX(INDIRECT($Z$3),SUM($AD$4:$AD14))</f>
        <v>#N/A</v>
      </c>
      <c r="AF14" s="184" t="b">
        <f ca="1">IF(ISERROR(MATCH(AE14,INDIRECT(ProductTable!$O$4),0)),FALSE,TRUE)</f>
        <v>0</v>
      </c>
      <c r="AG14" s="184" t="e">
        <f ca="1">MATCH(TRUE,OFFSET(INDIRECT($AF$3),SUM($AG$4:$AG13),0),0)</f>
        <v>#N/A</v>
      </c>
      <c r="AH14" s="184" t="str">
        <f ca="1">IF(ISERROR(AG14),"",INDEX(INDIRECT($AE$3),SUM($AG$4:$AG14)))</f>
        <v/>
      </c>
      <c r="AJ14" s="184">
        <f ca="1">MATCH(TRUE,OFFSET(INDIRECT(INDEX(INDIRECT(CT_SAtoC1!$A$5),MATCH(SelectionTables!$K$4,INDIRECT(CT_SAtoC1!$G$2),0),0)),0,SUM($AJ$4:$AJ13),1,ProductTable!$C$2-SUM($AJ$4:$AJ13)),0)</f>
        <v>1</v>
      </c>
      <c r="AK14" s="251" t="str">
        <f ca="1">INDEX(INDIRECT(CT_SAtoC1!$G$3),1,SUM($AJ$4:$AJ14))</f>
        <v>O-360ag-Cable 1m</v>
      </c>
      <c r="AL14" s="184" t="e">
        <f ca="1">MATCH(TRUE,OFFSET(INDIRECT(INDEX(INDIRECT(CT_C1toANT!$B$4),0,MATCH(SelectionTables!$J$4,INDIRECT(CT_C1toANT!$G$3),0))),SUM(AL$4:AL13),0,ProductTable!$M$2-SUM(AL$4:AL13)),0)</f>
        <v>#REF!</v>
      </c>
      <c r="AM14" s="251" t="str">
        <f ca="1">IF(ISERROR(AL14),"",INDEX(INDIRECT(CT_C1toANT!$G$2),SUM(AL$4:AL14)))</f>
        <v/>
      </c>
      <c r="AN14" s="184" t="b">
        <f t="shared" ca="1" si="1"/>
        <v>0</v>
      </c>
      <c r="AO14" s="184" t="e">
        <f ca="1">MATCH(TRUE,OFFSET(INDIRECT(AN$3),SUM(AO$4:AO13),0),0)</f>
        <v>#N/A</v>
      </c>
      <c r="AP14" s="184" t="e">
        <f ca="1">INDEX(INDIRECT(AK$3),SUM(AO$4:AO14))</f>
        <v>#N/A</v>
      </c>
      <c r="AQ14" s="184" t="b">
        <f ca="1">IF(ISERROR(MATCH(AP14,INDIRECT(ProductTable!$AI$4),0)),FALSE,TRUE)</f>
        <v>0</v>
      </c>
      <c r="AR14" s="184" t="e">
        <f ca="1">MATCH(TRUE,OFFSET(INDIRECT($AQ$3),SUM($AR$4:$AR13),0),0)</f>
        <v>#N/A</v>
      </c>
      <c r="AS14" s="184" t="str">
        <f ca="1">IF(ISERROR(AR14),"",INDEX(INDIRECT(AP$3),SUM(AR$4:AR14)))</f>
        <v/>
      </c>
      <c r="AU14" s="184">
        <f ca="1">IF(OR(EXACT(SelectionTables!$I$4,ProductTable!$L$7),EXACT(SelectionTables!$I$4,"")),"",ProductTable!T17)</f>
        <v>0</v>
      </c>
      <c r="AW14" s="540">
        <f ca="1">MATCH(TRUE,OFFSET(INDIRECT(INDEX(INDIRECT(CT_STAtoANT!$A$5),MATCH(SelectionTables!$G$4,INDIRECT(CT_STAtoANT!$G$2),0),0)),0,SUM($AW$4:$AW13),1,ProductTable!$H$2-SUM($AW$4:$AW13)),0)</f>
        <v>1</v>
      </c>
      <c r="AX14" s="541" t="str">
        <f ca="1">INDEX(INDIRECT(CT_STAtoANT!$G$3),1,SUM($AW$4:$AW14))</f>
        <v>AirLancer ON-QT90</v>
      </c>
      <c r="AY14" s="541" t="b">
        <f ca="1">IF(ISERROR(MATCH(AX14,INDIRECT(ProductTable!$J$4),0)),FALSE,TRUE)</f>
        <v>1</v>
      </c>
      <c r="AZ14" s="541">
        <f ca="1">MATCH(TRUE,OFFSET(INDIRECT($AY$3),SUM($AZ$4:$AZ13),0,ProductTable!$H$2-SUM($AZ$4:$AZ13),1),0)</f>
        <v>1</v>
      </c>
      <c r="BA14" s="541" t="str">
        <f ca="1">IF(ISERROR($AZ14),"",INDEX(INDIRECT($AX$3),SUM($AZ$4:$AZ14)))</f>
        <v>AirLancer ON-QT90</v>
      </c>
      <c r="BB14" s="541">
        <f ca="1">MATCH(TRUE,OFFSET(INDIRECT(INDEX(INDIRECT(CT_APtoANT!$A$5),MATCH(SelectionTables!$H$4,INDIRECT(CT_APtoANT!$G$2),0),0)),0,SUM($BB$4:$BB13),1,ProductTable!$H$2-SUM($BB$4:$BB13)),0)</f>
        <v>1</v>
      </c>
      <c r="BC14" s="541" t="str">
        <f ca="1">INDEX(INDIRECT(CT_APtoANT!$G$3),1,SUM($BB$4:$BB14))</f>
        <v>AirLancer ON-QT90</v>
      </c>
      <c r="BD14" s="541" t="b">
        <f t="shared" ca="1" si="2"/>
        <v>1</v>
      </c>
      <c r="BE14" s="541">
        <f ca="1">MATCH(TRUE,OFFSET(INDIRECT($BD$3),SUM($BE$4:$BE13),0,ProductTable!$H$2-SUM($BE$4:$BE13),1),0)</f>
        <v>1</v>
      </c>
      <c r="BF14" s="541" t="str">
        <f ca="1">IF(ISERROR($BE14),"",INDEX(INDIRECT($BA$3),SUM($BE$4:$BE14)))</f>
        <v>AirLancer ON-QT90</v>
      </c>
      <c r="BH14" s="541">
        <f ca="1">MATCH(TRUE,OFFSET(INDIRECT(INDEX(INDIRECT(CT_APtoC1!$A$5),MATCH(SelectionTables!$H$4,INDIRECT(CT_APtoC1!$G$2),0),0)),0,SUM($BH$4:$BH13),1,ProductTable!$AG$2-SUM($BH$4:$BH13)),0)</f>
        <v>1</v>
      </c>
      <c r="BI14" s="541" t="str">
        <f ca="1">INDEX(INDIRECT(CT_APtoC1!$G$3),1,SUM($BH$4:$BH14))</f>
        <v>O-360ag-Cable 1m</v>
      </c>
      <c r="BJ14" s="541" t="b">
        <f ca="1">IF(ISERROR(MATCH(BI14,INDIRECT(ProductTable!$AI$4),0)),FALSE,TRUE)</f>
        <v>0</v>
      </c>
      <c r="BK14" s="541" t="e">
        <f ca="1">MATCH(TRUE,OFFSET(INDIRECT($BJ$3),SUM($BK$4:$BK13),0,ProductTable!$AG$2-SUM($BK$4:$BK13),1),0)</f>
        <v>#N/A</v>
      </c>
      <c r="BL14" s="541" t="str">
        <f ca="1">IF(ISERROR($BK14),"",INDEX(INDIRECT($BI$3),SUM($BK$4:$BK14)))</f>
        <v/>
      </c>
    </row>
    <row r="15" spans="2:64" x14ac:dyDescent="0.25">
      <c r="B15" s="134" t="e">
        <f ca="1">MATCH(TRUE,OFFSET(INDIRECT(INDEX(INDIRECT(CT_APtoWLAN!$A$5),MATCH(SelectionTables!$H$4,INDIRECT(CT_APtoWLAN!$G$2),0),0)),0,SUM($B$4:$B14),1,ProductTable!$W$2-SUM($B$4:$B14)),0)</f>
        <v>#N/A</v>
      </c>
      <c r="C15" s="134" t="e">
        <f ca="1">INDEX(INDIRECT(CT_APtoWLAN!$G$3),1,SUM($B$4:$B15))</f>
        <v>#N/A</v>
      </c>
      <c r="D15" s="134" t="b">
        <f ca="1">IF(ISERROR(MATCH(C15,INDIRECT(ProductTable!$Y$4),0)),FALSE,TRUE)</f>
        <v>0</v>
      </c>
      <c r="E15" s="134" t="e">
        <f ca="1">MATCH(TRUE,OFFSET(INDIRECT($D$3),SUM($E$4:$E14),0,ProductTable!$W$2-SUM($E$4:$E14),1),0)</f>
        <v>#N/A</v>
      </c>
      <c r="F15" s="184" t="str">
        <f ca="1">IF(ISERROR($E15),"",INDEX(INDIRECT($C$3),SUM($E$4:$E15)))</f>
        <v/>
      </c>
      <c r="H15" s="134" t="e">
        <f ca="1">MATCH(TRUE,OFFSET(INDIRECT(INDEX(INDIRECT(CT_APtoSTA!$A$5),MATCH(SelectionTables!$H$4,INDIRECT(CT_APtoSTA!$G$2),0),0)),0,SUM($H$4:$H14),1,ProductTable!$AB$2-SUM($H$4:$H14)),0)</f>
        <v>#REF!</v>
      </c>
      <c r="I15" s="248" t="e">
        <f ca="1">INDEX(INDIRECT(CT_APtoSTA!$G$3),1,SUM($H$4:$H15))</f>
        <v>#REF!</v>
      </c>
      <c r="J15" s="134" t="e">
        <f ca="1">MATCH(TRUE,OFFSET(INDIRECT(INDEX(INDIRECT(CT_STAtoWLAN!$B$4),0,MATCH(SelectionTables!$N$4,INDIRECT(CT_STAtoWLAN!$G$3),0))),SUM($J$4:$J14),0,ProductTable!$AB$2-SUM($J$4:$J14)),0)</f>
        <v>#REF!</v>
      </c>
      <c r="K15" s="248" t="str">
        <f ca="1">IF(ISERROR($J15),"",INDEX(INDIRECT(CT_STAtoWLAN!$G$2),SUM($J$4:$J15)))</f>
        <v/>
      </c>
      <c r="L15" s="184" t="b">
        <f t="shared" ca="1" si="3"/>
        <v>0</v>
      </c>
      <c r="M15" s="184" t="e">
        <f ca="1">MATCH(TRUE,OFFSET(INDIRECT($L$3),SUM($M$4:$M14),0),0)</f>
        <v>#N/A</v>
      </c>
      <c r="N15" s="251" t="str">
        <f ca="1">IF(ISERROR(M15),"",INDEX(INDIRECT($I$3),SUM($M$4:$M15)))</f>
        <v/>
      </c>
      <c r="O15" s="184" t="b">
        <f ca="1">IF(N15="",FALSE,IF(ISERROR(MATCH(N15,INDIRECT(ProductTable!$AD$4),0)),FALSE,TRUE))</f>
        <v>0</v>
      </c>
      <c r="P15" s="184" t="e">
        <f ca="1">MATCH(TRUE,OFFSET(INDIRECT($O$3),SUM($P$4:$P14),0),0)</f>
        <v>#N/A</v>
      </c>
      <c r="Q15" s="184" t="str">
        <f ca="1">IF(ISERROR(P15),"",INDEX(INDIRECT($N$3),SUM($P$4:$P15)))</f>
        <v/>
      </c>
      <c r="S15" s="134">
        <f ca="1">MATCH(TRUE,OFFSET(INDIRECT(INDEX(INDIRECT(CT_STAtoANT!$A$5),MATCH(SelectionTables!$G$4,INDIRECT(CT_STAtoANT!$G$2),0),0)),0,SUM($S$4:$S14),1,ProductTable!$H$2-SUM($S$4:$S14)),0)</f>
        <v>1</v>
      </c>
      <c r="T15" s="184" t="str">
        <f ca="1">INDEX(INDIRECT(CT_STAtoANT!$G$3),1,SUM($S$4:$S15))</f>
        <v>OAP-821 intern</v>
      </c>
      <c r="U15" s="184" t="b">
        <f ca="1">IF(ISERROR(MATCH(T15,INDIRECT(ProductTable!$J$4),0)),FALSE,TRUE)</f>
        <v>1</v>
      </c>
      <c r="V15" s="184">
        <f ca="1">MATCH(TRUE,OFFSET(INDIRECT($U$3),SUM($V$4:$V14),0,ProductTable!$H$2-SUM($V$4:$V14),1),0)</f>
        <v>1</v>
      </c>
      <c r="W15" s="184" t="str">
        <f ca="1">IF(ISERROR($V15),"",INDEX(INDIRECT($T$3),SUM($V$4:$V15)))</f>
        <v>OAP-821 intern</v>
      </c>
      <c r="Y15" s="184">
        <f ca="1">MATCH(TRUE,OFFSET(INDIRECT(INDEX(INDIRECT(CT_APtoC1!$A$5),MATCH(SelectionTables!$H$4,INDIRECT(CT_APtoC1!$G$2),0),0)),0,SUM($Y$4:$Y14),1,ProductTable!$C$2-SUM($Y$4:$Y14)),0)</f>
        <v>1</v>
      </c>
      <c r="Z15" s="251" t="str">
        <f ca="1">INDEX(INDIRECT(CT_APtoC1!$G$3),1,SUM($Y$4:$Y15))</f>
        <v>OAP-Cable 1m</v>
      </c>
      <c r="AA15" s="184" t="e">
        <f ca="1">MATCH(TRUE,OFFSET(INDIRECT(INDEX(INDIRECT(CT_C1toANT!$B$4),0,MATCH(SelectionTables!$J$4,INDIRECT(CT_C1toANT!$G$3),0))),SUM(AA$4:AA14),0,ProductTable!$M$2-SUM(AA$4:AA14)),0)</f>
        <v>#REF!</v>
      </c>
      <c r="AB15" s="251" t="str">
        <f ca="1">IF(ISERROR(AA15),"",INDEX(INDIRECT(CT_C1toANT!$G$2),SUM(AA$4:AA15)))</f>
        <v/>
      </c>
      <c r="AC15" s="184" t="b">
        <f t="shared" ca="1" si="0"/>
        <v>0</v>
      </c>
      <c r="AD15" s="184" t="e">
        <f ca="1">MATCH(TRUE,OFFSET(INDIRECT($AC$3),SUM($AD$4:$AD14),0),0)</f>
        <v>#N/A</v>
      </c>
      <c r="AE15" s="184" t="e">
        <f ca="1">INDEX(INDIRECT($Z$3),SUM($AD$4:$AD15))</f>
        <v>#N/A</v>
      </c>
      <c r="AF15" s="184" t="b">
        <f ca="1">IF(ISERROR(MATCH(AE15,INDIRECT(ProductTable!$O$4),0)),FALSE,TRUE)</f>
        <v>0</v>
      </c>
      <c r="AG15" s="184" t="e">
        <f ca="1">MATCH(TRUE,OFFSET(INDIRECT($AF$3),SUM($AG$4:$AG14),0),0)</f>
        <v>#N/A</v>
      </c>
      <c r="AH15" s="184" t="str">
        <f ca="1">IF(ISERROR(AG15),"",INDEX(INDIRECT($AE$3),SUM($AG$4:$AG15)))</f>
        <v/>
      </c>
      <c r="AJ15" s="184">
        <f ca="1">MATCH(TRUE,OFFSET(INDIRECT(INDEX(INDIRECT(CT_SAtoC1!$A$5),MATCH(SelectionTables!$K$4,INDIRECT(CT_SAtoC1!$G$2),0),0)),0,SUM($AJ$4:$AJ14),1,ProductTable!$C$2-SUM($AJ$4:$AJ14)),0)</f>
        <v>1</v>
      </c>
      <c r="AK15" s="251" t="str">
        <f ca="1">INDEX(INDIRECT(CT_SAtoC1!$G$3),1,SUM($AJ$4:$AJ15))</f>
        <v>OAP-Cable 1m</v>
      </c>
      <c r="AL15" s="184" t="e">
        <f ca="1">MATCH(TRUE,OFFSET(INDIRECT(INDEX(INDIRECT(CT_C1toANT!$B$4),0,MATCH(SelectionTables!$J$4,INDIRECT(CT_C1toANT!$G$3),0))),SUM(AL$4:AL14),0,ProductTable!$M$2-SUM(AL$4:AL14)),0)</f>
        <v>#REF!</v>
      </c>
      <c r="AM15" s="251" t="str">
        <f ca="1">IF(ISERROR(AL15),"",INDEX(INDIRECT(CT_C1toANT!$G$2),SUM(AL$4:AL15)))</f>
        <v/>
      </c>
      <c r="AN15" s="184" t="b">
        <f t="shared" ca="1" si="1"/>
        <v>0</v>
      </c>
      <c r="AO15" s="184" t="e">
        <f ca="1">MATCH(TRUE,OFFSET(INDIRECT(AN$3),SUM(AO$4:AO14),0),0)</f>
        <v>#N/A</v>
      </c>
      <c r="AP15" s="184" t="e">
        <f ca="1">INDEX(INDIRECT(AK$3),SUM(AO$4:AO15))</f>
        <v>#N/A</v>
      </c>
      <c r="AQ15" s="184" t="b">
        <f ca="1">IF(ISERROR(MATCH(AP15,INDIRECT(ProductTable!$AI$4),0)),FALSE,TRUE)</f>
        <v>0</v>
      </c>
      <c r="AR15" s="184" t="e">
        <f ca="1">MATCH(TRUE,OFFSET(INDIRECT($AQ$3),SUM($AR$4:$AR14),0),0)</f>
        <v>#N/A</v>
      </c>
      <c r="AS15" s="184" t="str">
        <f ca="1">IF(ISERROR(AR15),"",INDEX(INDIRECT(AP$3),SUM(AR$4:AR15)))</f>
        <v/>
      </c>
      <c r="AU15" s="184">
        <f ca="1">IF(OR(EXACT(SelectionTables!$I$4,ProductTable!$L$7),EXACT(SelectionTables!$I$4,"")),"",ProductTable!T18)</f>
        <v>0</v>
      </c>
      <c r="AW15" s="540">
        <f ca="1">MATCH(TRUE,OFFSET(INDIRECT(INDEX(INDIRECT(CT_STAtoANT!$A$5),MATCH(SelectionTables!$G$4,INDIRECT(CT_STAtoANT!$G$2),0),0)),0,SUM($AW$4:$AW14),1,ProductTable!$H$2-SUM($AW$4:$AW14)),0)</f>
        <v>1</v>
      </c>
      <c r="AX15" s="541" t="str">
        <f ca="1">INDEX(INDIRECT(CT_STAtoANT!$G$3),1,SUM($AW$4:$AW15))</f>
        <v>OAP-821 intern</v>
      </c>
      <c r="AY15" s="541" t="b">
        <f ca="1">IF(ISERROR(MATCH(AX15,INDIRECT(ProductTable!$J$4),0)),FALSE,TRUE)</f>
        <v>1</v>
      </c>
      <c r="AZ15" s="541">
        <f ca="1">MATCH(TRUE,OFFSET(INDIRECT($AY$3),SUM($AZ$4:$AZ14),0,ProductTable!$H$2-SUM($AZ$4:$AZ14),1),0)</f>
        <v>1</v>
      </c>
      <c r="BA15" s="541" t="str">
        <f ca="1">IF(ISERROR($AZ15),"",INDEX(INDIRECT($AX$3),SUM($AZ$4:$AZ15)))</f>
        <v>OAP-821 intern</v>
      </c>
      <c r="BB15" s="541">
        <f ca="1">MATCH(TRUE,OFFSET(INDIRECT(INDEX(INDIRECT(CT_APtoANT!$A$5),MATCH(SelectionTables!$H$4,INDIRECT(CT_APtoANT!$G$2),0),0)),0,SUM($BB$4:$BB14),1,ProductTable!$H$2-SUM($BB$4:$BB14)),0)</f>
        <v>2</v>
      </c>
      <c r="BC15" s="541" t="str">
        <f ca="1">INDEX(INDIRECT(CT_APtoANT!$G$3),1,SUM($BB$4:$BB15))</f>
        <v>Other antenna</v>
      </c>
      <c r="BD15" s="541" t="b">
        <f t="shared" ca="1" si="2"/>
        <v>0</v>
      </c>
      <c r="BE15" s="541">
        <f ca="1">MATCH(TRUE,OFFSET(INDIRECT($BD$3),SUM($BE$4:$BE14),0,ProductTable!$H$2-SUM($BE$4:$BE14),1),0)</f>
        <v>2</v>
      </c>
      <c r="BF15" s="541" t="str">
        <f ca="1">IF(ISERROR($BE15),"",INDEX(INDIRECT($BA$3),SUM($BE$4:$BE15)))</f>
        <v>Other antenna</v>
      </c>
      <c r="BH15" s="541">
        <f ca="1">MATCH(TRUE,OFFSET(INDIRECT(INDEX(INDIRECT(CT_APtoC1!$A$5),MATCH(SelectionTables!$H$4,INDIRECT(CT_APtoC1!$G$2),0),0)),0,SUM($BH$4:$BH14),1,ProductTable!$AG$2-SUM($BH$4:$BH14)),0)</f>
        <v>1</v>
      </c>
      <c r="BI15" s="541" t="str">
        <f ca="1">INDEX(INDIRECT(CT_APtoC1!$G$3),1,SUM($BH$4:$BH15))</f>
        <v>OAP-Cable 1m</v>
      </c>
      <c r="BJ15" s="541" t="b">
        <f ca="1">IF(ISERROR(MATCH(BI15,INDIRECT(ProductTable!$AI$4),0)),FALSE,TRUE)</f>
        <v>0</v>
      </c>
      <c r="BK15" s="541" t="e">
        <f ca="1">MATCH(TRUE,OFFSET(INDIRECT($BJ$3),SUM($BK$4:$BK14),0,ProductTable!$AG$2-SUM($BK$4:$BK14),1),0)</f>
        <v>#N/A</v>
      </c>
      <c r="BL15" s="541" t="str">
        <f ca="1">IF(ISERROR($BK15),"",INDEX(INDIRECT($BI$3),SUM($BK$4:$BK15)))</f>
        <v/>
      </c>
    </row>
    <row r="16" spans="2:64" x14ac:dyDescent="0.25">
      <c r="B16" s="134" t="e">
        <f ca="1">MATCH(TRUE,OFFSET(INDIRECT(INDEX(INDIRECT(CT_APtoWLAN!$A$5),MATCH(SelectionTables!$H$4,INDIRECT(CT_APtoWLAN!$G$2),0),0)),0,SUM($B$4:$B15),1,ProductTable!$W$2-SUM($B$4:$B15)),0)</f>
        <v>#N/A</v>
      </c>
      <c r="C16" s="134" t="e">
        <f ca="1">INDEX(INDIRECT(CT_APtoWLAN!$G$3),1,SUM($B$4:$B16))</f>
        <v>#N/A</v>
      </c>
      <c r="D16" s="134" t="b">
        <f ca="1">IF(ISERROR(MATCH(C16,INDIRECT(ProductTable!$Y$4),0)),FALSE,TRUE)</f>
        <v>0</v>
      </c>
      <c r="E16" s="134" t="e">
        <f ca="1">MATCH(TRUE,OFFSET(INDIRECT($D$3),SUM($E$4:$E15),0,ProductTable!$W$2-SUM($E$4:$E15),1),0)</f>
        <v>#N/A</v>
      </c>
      <c r="F16" s="184" t="str">
        <f ca="1">IF(ISERROR($E16),"",INDEX(INDIRECT($C$3),SUM($E$4:$E16)))</f>
        <v/>
      </c>
      <c r="H16" s="134" t="e">
        <f ca="1">MATCH(TRUE,OFFSET(INDIRECT(INDEX(INDIRECT(CT_APtoSTA!$A$5),MATCH(SelectionTables!$H$4,INDIRECT(CT_APtoSTA!$G$2),0),0)),0,SUM($H$4:$H15),1,ProductTable!$AB$2-SUM($H$4:$H15)),0)</f>
        <v>#REF!</v>
      </c>
      <c r="I16" s="248" t="e">
        <f ca="1">INDEX(INDIRECT(CT_APtoSTA!$G$3),1,SUM($H$4:$H16))</f>
        <v>#REF!</v>
      </c>
      <c r="J16" s="134" t="e">
        <f ca="1">MATCH(TRUE,OFFSET(INDIRECT(INDEX(INDIRECT(CT_STAtoWLAN!$B$4),0,MATCH(SelectionTables!$N$4,INDIRECT(CT_STAtoWLAN!$G$3),0))),SUM($J$4:$J15),0,ProductTable!$AB$2-SUM($J$4:$J15)),0)</f>
        <v>#REF!</v>
      </c>
      <c r="K16" s="248" t="str">
        <f ca="1">IF(ISERROR($J16),"",INDEX(INDIRECT(CT_STAtoWLAN!$G$2),SUM($J$4:$J16)))</f>
        <v/>
      </c>
      <c r="L16" s="184" t="b">
        <f t="shared" ca="1" si="3"/>
        <v>0</v>
      </c>
      <c r="M16" s="184" t="e">
        <f ca="1">MATCH(TRUE,OFFSET(INDIRECT($L$3),SUM($M$4:$M15),0),0)</f>
        <v>#N/A</v>
      </c>
      <c r="N16" s="251" t="str">
        <f ca="1">IF(ISERROR(M16),"",INDEX(INDIRECT($I$3),SUM($M$4:$M16)))</f>
        <v/>
      </c>
      <c r="O16" s="184" t="b">
        <f ca="1">IF(N16="",FALSE,IF(ISERROR(MATCH(N16,INDIRECT(ProductTable!$AD$4),0)),FALSE,TRUE))</f>
        <v>0</v>
      </c>
      <c r="P16" s="184" t="e">
        <f ca="1">MATCH(TRUE,OFFSET(INDIRECT($O$3),SUM($P$4:$P15),0),0)</f>
        <v>#N/A</v>
      </c>
      <c r="Q16" s="184" t="str">
        <f ca="1">IF(ISERROR(P16),"",INDEX(INDIRECT($N$3),SUM($P$4:$P16)))</f>
        <v/>
      </c>
      <c r="S16" s="134">
        <f ca="1">MATCH(TRUE,OFFSET(INDIRECT(INDEX(INDIRECT(CT_STAtoANT!$A$5),MATCH(SelectionTables!$G$4,INDIRECT(CT_STAtoANT!$G$2),0),0)),0,SUM($S$4:$S15),1,ProductTable!$H$2-SUM($S$4:$S15)),0)</f>
        <v>1</v>
      </c>
      <c r="T16" s="184" t="str">
        <f ca="1">INDEX(INDIRECT(CT_STAtoANT!$G$3),1,SUM($S$4:$S16))</f>
        <v>Other antenna</v>
      </c>
      <c r="U16" s="184" t="b">
        <f ca="1">IF(ISERROR(MATCH(T16,INDIRECT(ProductTable!$J$4),0)),FALSE,TRUE)</f>
        <v>1</v>
      </c>
      <c r="V16" s="184">
        <f ca="1">MATCH(TRUE,OFFSET(INDIRECT($U$3),SUM($V$4:$V15),0,ProductTable!$H$2-SUM($V$4:$V15),1),0)</f>
        <v>1</v>
      </c>
      <c r="W16" s="184" t="str">
        <f ca="1">IF(ISERROR($V16),"",INDEX(INDIRECT($T$3),SUM($V$4:$V16)))</f>
        <v>Other antenna</v>
      </c>
      <c r="Y16" s="184" t="e">
        <f ca="1">MATCH(TRUE,OFFSET(INDIRECT(INDEX(INDIRECT(CT_APtoC1!$A$5),MATCH(SelectionTables!$H$4,INDIRECT(CT_APtoC1!$G$2),0),0)),0,SUM($Y$4:$Y15),1,ProductTable!$C$2-SUM($Y$4:$Y15)),0)</f>
        <v>#REF!</v>
      </c>
      <c r="Z16" s="251" t="e">
        <f ca="1">INDEX(INDIRECT(CT_APtoC1!$G$3),1,SUM($Y$4:$Y16))</f>
        <v>#REF!</v>
      </c>
      <c r="AA16" s="184" t="e">
        <f ca="1">MATCH(TRUE,OFFSET(INDIRECT(INDEX(INDIRECT(CT_C1toANT!$B$4),0,MATCH(SelectionTables!$J$4,INDIRECT(CT_C1toANT!$G$3),0))),SUM(AA$4:AA15),0,ProductTable!$M$2-SUM(AA$4:AA15)),0)</f>
        <v>#REF!</v>
      </c>
      <c r="AB16" s="251" t="str">
        <f ca="1">IF(ISERROR(AA16),"",INDEX(INDIRECT(CT_C1toANT!$G$2),SUM(AA$4:AA16)))</f>
        <v/>
      </c>
      <c r="AC16" s="184" t="b">
        <f t="shared" ca="1" si="0"/>
        <v>0</v>
      </c>
      <c r="AD16" s="184" t="e">
        <f ca="1">MATCH(TRUE,OFFSET(INDIRECT($AC$3),SUM($AD$4:$AD15),0),0)</f>
        <v>#N/A</v>
      </c>
      <c r="AE16" s="184" t="e">
        <f ca="1">INDEX(INDIRECT($Z$3),SUM($AD$4:$AD16))</f>
        <v>#N/A</v>
      </c>
      <c r="AF16" s="184" t="b">
        <f ca="1">IF(ISERROR(MATCH(AE16,INDIRECT(ProductTable!$O$4),0)),FALSE,TRUE)</f>
        <v>0</v>
      </c>
      <c r="AG16" s="184" t="e">
        <f ca="1">MATCH(TRUE,OFFSET(INDIRECT($AF$3),SUM($AG$4:$AG15),0),0)</f>
        <v>#N/A</v>
      </c>
      <c r="AH16" s="184" t="str">
        <f ca="1">IF(ISERROR(AG16),"",INDEX(INDIRECT($AE$3),SUM($AG$4:$AG16)))</f>
        <v/>
      </c>
      <c r="AJ16" s="184" t="e">
        <f ca="1">MATCH(TRUE,OFFSET(INDIRECT(INDEX(INDIRECT(CT_SAtoC1!$A$5),MATCH(SelectionTables!$K$4,INDIRECT(CT_SAtoC1!$G$2),0),0)),0,SUM($AJ$4:$AJ15),1,ProductTable!$C$2-SUM($AJ$4:$AJ15)),0)</f>
        <v>#REF!</v>
      </c>
      <c r="AK16" s="251" t="e">
        <f ca="1">INDEX(INDIRECT(CT_SAtoC1!$G$3),1,SUM($AJ$4:$AJ16))</f>
        <v>#REF!</v>
      </c>
      <c r="AL16" s="184" t="e">
        <f ca="1">MATCH(TRUE,OFFSET(INDIRECT(INDEX(INDIRECT(CT_C1toANT!$B$4),0,MATCH(SelectionTables!$J$4,INDIRECT(CT_C1toANT!$G$3),0))),SUM(AL$4:AL15),0,ProductTable!$M$2-SUM(AL$4:AL15)),0)</f>
        <v>#REF!</v>
      </c>
      <c r="AM16" s="251" t="str">
        <f ca="1">IF(ISERROR(AL16),"",INDEX(INDIRECT(CT_C1toANT!$G$2),SUM(AL$4:AL16)))</f>
        <v/>
      </c>
      <c r="AN16" s="184" t="b">
        <f t="shared" ca="1" si="1"/>
        <v>0</v>
      </c>
      <c r="AO16" s="184" t="e">
        <f ca="1">MATCH(TRUE,OFFSET(INDIRECT(AN$3),SUM(AO$4:AO15),0),0)</f>
        <v>#N/A</v>
      </c>
      <c r="AP16" s="184" t="e">
        <f ca="1">INDEX(INDIRECT(AK$3),SUM(AO$4:AO16))</f>
        <v>#N/A</v>
      </c>
      <c r="AQ16" s="184" t="b">
        <f ca="1">IF(ISERROR(MATCH(AP16,INDIRECT(ProductTable!$AI$4),0)),FALSE,TRUE)</f>
        <v>0</v>
      </c>
      <c r="AR16" s="184" t="e">
        <f ca="1">MATCH(TRUE,OFFSET(INDIRECT($AQ$3),SUM($AR$4:$AR15),0),0)</f>
        <v>#N/A</v>
      </c>
      <c r="AS16" s="184" t="str">
        <f ca="1">IF(ISERROR(AR16),"",INDEX(INDIRECT(AP$3),SUM(AR$4:AR16)))</f>
        <v/>
      </c>
      <c r="AU16" s="184">
        <f ca="1">IF(OR(EXACT(SelectionTables!$I$4,ProductTable!$L$7),EXACT(SelectionTables!$I$4,"")),"",ProductTable!T19)</f>
        <v>0</v>
      </c>
      <c r="AW16" s="540">
        <f ca="1">MATCH(TRUE,OFFSET(INDIRECT(INDEX(INDIRECT(CT_STAtoANT!$A$5),MATCH(SelectionTables!$G$4,INDIRECT(CT_STAtoANT!$G$2),0),0)),0,SUM($AW$4:$AW15),1,ProductTable!$H$2-SUM($AW$4:$AW15)),0)</f>
        <v>1</v>
      </c>
      <c r="AX16" s="541" t="str">
        <f ca="1">INDEX(INDIRECT(CT_STAtoANT!$G$3),1,SUM($AW$4:$AW16))</f>
        <v>Other antenna</v>
      </c>
      <c r="AY16" s="541" t="b">
        <f ca="1">IF(ISERROR(MATCH(AX16,INDIRECT(ProductTable!$J$4),0)),FALSE,TRUE)</f>
        <v>1</v>
      </c>
      <c r="AZ16" s="541">
        <f ca="1">MATCH(TRUE,OFFSET(INDIRECT($AY$3),SUM($AZ$4:$AZ15),0,ProductTable!$H$2-SUM($AZ$4:$AZ15),1),0)</f>
        <v>1</v>
      </c>
      <c r="BA16" s="541" t="str">
        <f ca="1">IF(ISERROR($AZ16),"",INDEX(INDIRECT($AX$3),SUM($AZ$4:$AZ16)))</f>
        <v>Other antenna</v>
      </c>
      <c r="BB16" s="541">
        <f ca="1">MATCH(TRUE,OFFSET(INDIRECT(INDEX(INDIRECT(CT_APtoANT!$A$5),MATCH(SelectionTables!$H$4,INDIRECT(CT_APtoANT!$G$2),0),0)),0,SUM($BB$4:$BB15),1,ProductTable!$H$2-SUM($BB$4:$BB15)),0)</f>
        <v>1</v>
      </c>
      <c r="BC16" s="541" t="str">
        <f ca="1">INDEX(INDIRECT(CT_APtoANT!$G$3),1,SUM($BB$4:$BB16))</f>
        <v>Default antenna</v>
      </c>
      <c r="BD16" s="541" t="b">
        <f t="shared" ca="1" si="2"/>
        <v>1</v>
      </c>
      <c r="BE16" s="541">
        <f ca="1">MATCH(TRUE,OFFSET(INDIRECT($BD$3),SUM($BE$4:$BE15),0,ProductTable!$H$2-SUM($BE$4:$BE15),1),0)</f>
        <v>1</v>
      </c>
      <c r="BF16" s="541" t="str">
        <f ca="1">IF(ISERROR($BE16),"",INDEX(INDIRECT($BA$3),SUM($BE$4:$BE16)))</f>
        <v>Default antenna</v>
      </c>
      <c r="BH16" s="541">
        <f ca="1">MATCH(TRUE,OFFSET(INDIRECT(INDEX(INDIRECT(CT_APtoC1!$A$5),MATCH(SelectionTables!$H$4,INDIRECT(CT_APtoC1!$G$2),0),0)),0,SUM($BH$4:$BH15),1,ProductTable!$AG$2-SUM($BH$4:$BH15)),0)</f>
        <v>1</v>
      </c>
      <c r="BI16" s="541" t="str">
        <f ca="1">INDEX(INDIRECT(CT_APtoC1!$G$3),1,SUM($BH$4:$BH16))</f>
        <v>OAP-Cable 10cm</v>
      </c>
      <c r="BJ16" s="541" t="b">
        <f ca="1">IF(ISERROR(MATCH(BI16,INDIRECT(ProductTable!$AI$4),0)),FALSE,TRUE)</f>
        <v>0</v>
      </c>
      <c r="BK16" s="541" t="e">
        <f ca="1">MATCH(TRUE,OFFSET(INDIRECT($BJ$3),SUM($BK$4:$BK15),0,ProductTable!$AG$2-SUM($BK$4:$BK15),1),0)</f>
        <v>#N/A</v>
      </c>
      <c r="BL16" s="541" t="str">
        <f ca="1">IF(ISERROR($BK16),"",INDEX(INDIRECT($BI$3),SUM($BK$4:$BK16)))</f>
        <v/>
      </c>
    </row>
    <row r="17" spans="2:64" x14ac:dyDescent="0.25">
      <c r="B17" s="134" t="e">
        <f ca="1">MATCH(TRUE,OFFSET(INDIRECT(INDEX(INDIRECT(CT_APtoWLAN!$A$5),MATCH(SelectionTables!$H$4,INDIRECT(CT_APtoWLAN!$G$2),0),0)),0,SUM($B$4:$B16),1,ProductTable!$W$2-SUM($B$4:$B16)),0)</f>
        <v>#N/A</v>
      </c>
      <c r="C17" s="134" t="e">
        <f ca="1">INDEX(INDIRECT(CT_APtoWLAN!$G$3),1,SUM($B$4:$B17))</f>
        <v>#N/A</v>
      </c>
      <c r="D17" s="134" t="b">
        <f ca="1">IF(ISERROR(MATCH(C17,INDIRECT(ProductTable!$Y$4),0)),FALSE,TRUE)</f>
        <v>0</v>
      </c>
      <c r="E17" s="134" t="e">
        <f ca="1">MATCH(TRUE,OFFSET(INDIRECT($D$3),SUM($E$4:$E16),0,ProductTable!$W$2-SUM($E$4:$E16),1),0)</f>
        <v>#N/A</v>
      </c>
      <c r="F17" s="184" t="str">
        <f ca="1">IF(ISERROR($E17),"",INDEX(INDIRECT($C$3),SUM($E$4:$E17)))</f>
        <v/>
      </c>
      <c r="H17" s="134" t="e">
        <f ca="1">MATCH(TRUE,OFFSET(INDIRECT(INDEX(INDIRECT(CT_APtoSTA!$A$5),MATCH(SelectionTables!$H$4,INDIRECT(CT_APtoSTA!$G$2),0),0)),0,SUM($H$4:$H16),1,ProductTable!$AB$2-SUM($H$4:$H16)),0)</f>
        <v>#REF!</v>
      </c>
      <c r="I17" s="248" t="e">
        <f ca="1">INDEX(INDIRECT(CT_APtoSTA!$G$3),1,SUM($H$4:$H17))</f>
        <v>#REF!</v>
      </c>
      <c r="J17" s="134" t="e">
        <f ca="1">MATCH(TRUE,OFFSET(INDIRECT(INDEX(INDIRECT(CT_STAtoWLAN!$B$4),0,MATCH(SelectionTables!$N$4,INDIRECT(CT_STAtoWLAN!$G$3),0))),SUM($J$4:$J16),0,ProductTable!$AB$2-SUM($J$4:$J16)),0)</f>
        <v>#REF!</v>
      </c>
      <c r="K17" s="248" t="str">
        <f ca="1">IF(ISERROR($J17),"",INDEX(INDIRECT(CT_STAtoWLAN!$G$2),SUM($J$4:$J17)))</f>
        <v/>
      </c>
      <c r="L17" s="184" t="b">
        <f t="shared" ca="1" si="3"/>
        <v>0</v>
      </c>
      <c r="M17" s="184" t="e">
        <f ca="1">MATCH(TRUE,OFFSET(INDIRECT($L$3),SUM($M$4:$M16),0),0)</f>
        <v>#N/A</v>
      </c>
      <c r="N17" s="251" t="str">
        <f ca="1">IF(ISERROR(M17),"",INDEX(INDIRECT($I$3),SUM($M$4:$M17)))</f>
        <v/>
      </c>
      <c r="O17" s="184" t="b">
        <f ca="1">IF(N17="",FALSE,IF(ISERROR(MATCH(N17,INDIRECT(ProductTable!$AD$4),0)),FALSE,TRUE))</f>
        <v>0</v>
      </c>
      <c r="P17" s="184" t="e">
        <f ca="1">MATCH(TRUE,OFFSET(INDIRECT($O$3),SUM($P$4:$P16),0),0)</f>
        <v>#N/A</v>
      </c>
      <c r="Q17" s="184" t="str">
        <f ca="1">IF(ISERROR(P17),"",INDEX(INDIRECT($N$3),SUM($P$4:$P17)))</f>
        <v/>
      </c>
      <c r="S17" s="134">
        <f ca="1">MATCH(TRUE,OFFSET(INDIRECT(INDEX(INDIRECT(CT_STAtoANT!$A$5),MATCH(SelectionTables!$G$4,INDIRECT(CT_STAtoANT!$G$2),0),0)),0,SUM($S$4:$S16),1,ProductTable!$H$2-SUM($S$4:$S16)),0)</f>
        <v>1</v>
      </c>
      <c r="T17" s="184" t="str">
        <f ca="1">INDEX(INDIRECT(CT_STAtoANT!$G$3),1,SUM($S$4:$S17))</f>
        <v>Default antenna</v>
      </c>
      <c r="U17" s="184" t="b">
        <f ca="1">IF(ISERROR(MATCH(T17,INDIRECT(ProductTable!$J$4),0)),FALSE,TRUE)</f>
        <v>1</v>
      </c>
      <c r="V17" s="184">
        <f ca="1">MATCH(TRUE,OFFSET(INDIRECT($U$3),SUM($V$4:$V16),0,ProductTable!$H$2-SUM($V$4:$V16),1),0)</f>
        <v>1</v>
      </c>
      <c r="W17" s="184" t="str">
        <f ca="1">IF(ISERROR($V17),"",INDEX(INDIRECT($T$3),SUM($V$4:$V17)))</f>
        <v>Default antenna</v>
      </c>
      <c r="Y17" s="184" t="e">
        <f ca="1">MATCH(TRUE,OFFSET(INDIRECT(INDEX(INDIRECT(CT_APtoC1!$A$5),MATCH(SelectionTables!$H$4,INDIRECT(CT_APtoC1!$G$2),0),0)),0,SUM($Y$4:$Y16),1,ProductTable!$C$2-SUM($Y$4:$Y16)),0)</f>
        <v>#REF!</v>
      </c>
      <c r="Z17" s="251" t="e">
        <f ca="1">INDEX(INDIRECT(CT_APtoC1!$G$3),1,SUM($Y$4:$Y17))</f>
        <v>#REF!</v>
      </c>
      <c r="AA17" s="184" t="e">
        <f ca="1">MATCH(TRUE,OFFSET(INDIRECT(INDEX(INDIRECT(CT_C1toANT!$B$4),0,MATCH(SelectionTables!$J$4,INDIRECT(CT_C1toANT!$G$3),0))),SUM(AA$4:AA16),0,ProductTable!$M$2-SUM(AA$4:AA16)),0)</f>
        <v>#REF!</v>
      </c>
      <c r="AB17" s="251" t="str">
        <f ca="1">IF(ISERROR(AA17),"",INDEX(INDIRECT(CT_C1toANT!$G$2),SUM(AA$4:AA17)))</f>
        <v/>
      </c>
      <c r="AC17" s="184" t="b">
        <f t="shared" ca="1" si="0"/>
        <v>0</v>
      </c>
      <c r="AD17" s="184" t="e">
        <f ca="1">MATCH(TRUE,OFFSET(INDIRECT($AC$3),SUM($AD$4:$AD16),0),0)</f>
        <v>#N/A</v>
      </c>
      <c r="AE17" s="184" t="e">
        <f ca="1">INDEX(INDIRECT($Z$3),SUM($AD$4:$AD17))</f>
        <v>#N/A</v>
      </c>
      <c r="AF17" s="184" t="b">
        <f ca="1">IF(ISERROR(MATCH(AE17,INDIRECT(ProductTable!$O$4),0)),FALSE,TRUE)</f>
        <v>0</v>
      </c>
      <c r="AG17" s="184" t="e">
        <f ca="1">MATCH(TRUE,OFFSET(INDIRECT($AF$3),SUM($AG$4:$AG16),0),0)</f>
        <v>#N/A</v>
      </c>
      <c r="AH17" s="184" t="str">
        <f ca="1">IF(ISERROR(AG17),"",INDEX(INDIRECT($AE$3),SUM($AG$4:$AG17)))</f>
        <v/>
      </c>
      <c r="AJ17" s="184" t="e">
        <f ca="1">MATCH(TRUE,OFFSET(INDIRECT(INDEX(INDIRECT(CT_SAtoC1!$A$5),MATCH(SelectionTables!$K$4,INDIRECT(CT_SAtoC1!$G$2),0),0)),0,SUM($AJ$4:$AJ16),1,ProductTable!$C$2-SUM($AJ$4:$AJ16)),0)</f>
        <v>#REF!</v>
      </c>
      <c r="AK17" s="251" t="e">
        <f ca="1">INDEX(INDIRECT(CT_SAtoC1!$G$3),1,SUM($AJ$4:$AJ17))</f>
        <v>#REF!</v>
      </c>
      <c r="AL17" s="184" t="e">
        <f ca="1">MATCH(TRUE,OFFSET(INDIRECT(INDEX(INDIRECT(CT_C1toANT!$B$4),0,MATCH(SelectionTables!$J$4,INDIRECT(CT_C1toANT!$G$3),0))),SUM(AL$4:AL16),0,ProductTable!$M$2-SUM(AL$4:AL16)),0)</f>
        <v>#REF!</v>
      </c>
      <c r="AM17" s="251" t="str">
        <f ca="1">IF(ISERROR(AL17),"",INDEX(INDIRECT(CT_C1toANT!$G$2),SUM(AL$4:AL17)))</f>
        <v/>
      </c>
      <c r="AN17" s="184" t="b">
        <f t="shared" ca="1" si="1"/>
        <v>0</v>
      </c>
      <c r="AO17" s="184" t="e">
        <f ca="1">MATCH(TRUE,OFFSET(INDIRECT(AN$3),SUM(AO$4:AO16),0),0)</f>
        <v>#N/A</v>
      </c>
      <c r="AP17" s="184" t="e">
        <f ca="1">INDEX(INDIRECT(AK$3),SUM(AO$4:AO17))</f>
        <v>#N/A</v>
      </c>
      <c r="AQ17" s="184" t="b">
        <f ca="1">IF(ISERROR(MATCH(AP17,INDIRECT(ProductTable!$AI$4),0)),FALSE,TRUE)</f>
        <v>0</v>
      </c>
      <c r="AR17" s="184" t="e">
        <f ca="1">MATCH(TRUE,OFFSET(INDIRECT($AQ$3),SUM($AR$4:$AR16),0),0)</f>
        <v>#N/A</v>
      </c>
      <c r="AS17" s="184" t="str">
        <f ca="1">IF(ISERROR(AR17),"",INDEX(INDIRECT(AP$3),SUM(AR$4:AR17)))</f>
        <v/>
      </c>
      <c r="AU17" s="184">
        <f ca="1">IF(OR(EXACT(SelectionTables!$I$4,ProductTable!$L$7),EXACT(SelectionTables!$I$4,"")),"",ProductTable!T20)</f>
        <v>0</v>
      </c>
      <c r="AW17" s="540">
        <f ca="1">MATCH(TRUE,OFFSET(INDIRECT(INDEX(INDIRECT(CT_STAtoANT!$A$5),MATCH(SelectionTables!$G$4,INDIRECT(CT_STAtoANT!$G$2),0),0)),0,SUM($AW$4:$AW16),1,ProductTable!$H$2-SUM($AW$4:$AW16)),0)</f>
        <v>1</v>
      </c>
      <c r="AX17" s="541" t="str">
        <f ca="1">INDEX(INDIRECT(CT_STAtoANT!$G$3),1,SUM($AW$4:$AW17))</f>
        <v>Default antenna</v>
      </c>
      <c r="AY17" s="541" t="b">
        <f ca="1">IF(ISERROR(MATCH(AX17,INDIRECT(ProductTable!$J$4),0)),FALSE,TRUE)</f>
        <v>1</v>
      </c>
      <c r="AZ17" s="541">
        <f ca="1">MATCH(TRUE,OFFSET(INDIRECT($AY$3),SUM($AZ$4:$AZ16),0,ProductTable!$H$2-SUM($AZ$4:$AZ16),1),0)</f>
        <v>1</v>
      </c>
      <c r="BA17" s="541" t="str">
        <f ca="1">IF(ISERROR($AZ17),"",INDEX(INDIRECT($AX$3),SUM($AZ$4:$AZ17)))</f>
        <v>Default antenna</v>
      </c>
      <c r="BB17" s="541" t="e">
        <f ca="1">MATCH(TRUE,OFFSET(INDIRECT(INDEX(INDIRECT(CT_APtoANT!$A$5),MATCH(SelectionTables!$H$4,INDIRECT(CT_APtoANT!$G$2),0),0)),0,SUM($BB$4:$BB16),1,ProductTable!$H$2-SUM($BB$4:$BB16)),0)</f>
        <v>#REF!</v>
      </c>
      <c r="BC17" s="541" t="e">
        <f ca="1">INDEX(INDIRECT(CT_APtoANT!$G$3),1,SUM($BB$4:$BB17))</f>
        <v>#REF!</v>
      </c>
      <c r="BD17" s="541" t="b">
        <f t="shared" ca="1" si="2"/>
        <v>1</v>
      </c>
      <c r="BE17" s="541" t="e">
        <f ca="1">MATCH(TRUE,OFFSET(INDIRECT($BD$3),SUM($BE$4:$BE16),0,ProductTable!$H$2-SUM($BE$4:$BE16),1),0)</f>
        <v>#REF!</v>
      </c>
      <c r="BF17" s="541" t="str">
        <f ca="1">IF(ISERROR($BE17),"",INDEX(INDIRECT($BA$3),SUM($BE$4:$BE17)))</f>
        <v/>
      </c>
      <c r="BH17" s="541">
        <f ca="1">MATCH(TRUE,OFFSET(INDIRECT(INDEX(INDIRECT(CT_APtoC1!$A$5),MATCH(SelectionTables!$H$4,INDIRECT(CT_APtoC1!$G$2),0),0)),0,SUM($BH$4:$BH16),1,ProductTable!$AG$2-SUM($BH$4:$BH16)),0)</f>
        <v>1</v>
      </c>
      <c r="BI17" s="541" t="str">
        <f ca="1">INDEX(INDIRECT(CT_APtoC1!$G$3),1,SUM($BH$4:$BH17))</f>
        <v>AirLancer Cable NP-NP 20cm</v>
      </c>
      <c r="BJ17" s="541" t="b">
        <f ca="1">IF(ISERROR(MATCH(BI17,INDIRECT(ProductTable!$AI$4),0)),FALSE,TRUE)</f>
        <v>0</v>
      </c>
      <c r="BK17" s="541" t="e">
        <f ca="1">MATCH(TRUE,OFFSET(INDIRECT($BJ$3),SUM($BK$4:$BK16),0,ProductTable!$AG$2-SUM($BK$4:$BK16),1),0)</f>
        <v>#N/A</v>
      </c>
      <c r="BL17" s="541" t="str">
        <f ca="1">IF(ISERROR($BK17),"",INDEX(INDIRECT($BI$3),SUM($BK$4:$BK17)))</f>
        <v/>
      </c>
    </row>
    <row r="18" spans="2:64" x14ac:dyDescent="0.25">
      <c r="B18" s="134" t="e">
        <f ca="1">MATCH(TRUE,OFFSET(INDIRECT(INDEX(INDIRECT(CT_APtoWLAN!$A$5),MATCH(SelectionTables!$H$4,INDIRECT(CT_APtoWLAN!$G$2),0),0)),0,SUM($B$4:$B17),1,ProductTable!$W$2-SUM($B$4:$B17)),0)</f>
        <v>#N/A</v>
      </c>
      <c r="C18" s="134" t="e">
        <f ca="1">INDEX(INDIRECT(CT_APtoWLAN!$G$3),1,SUM($B$4:$B18))</f>
        <v>#N/A</v>
      </c>
      <c r="D18" s="134" t="b">
        <f ca="1">IF(ISERROR(MATCH(C18,INDIRECT(ProductTable!$Y$4),0)),FALSE,TRUE)</f>
        <v>0</v>
      </c>
      <c r="E18" s="134" t="e">
        <f ca="1">MATCH(TRUE,OFFSET(INDIRECT($D$3),SUM($E$4:$E17),0,ProductTable!$W$2-SUM($E$4:$E17),1),0)</f>
        <v>#N/A</v>
      </c>
      <c r="F18" s="184" t="str">
        <f ca="1">IF(ISERROR($E18),"",INDEX(INDIRECT($C$3),SUM($E$4:$E18)))</f>
        <v/>
      </c>
      <c r="H18" s="134" t="e">
        <f ca="1">MATCH(TRUE,OFFSET(INDIRECT(INDEX(INDIRECT(CT_APtoSTA!$A$5),MATCH(SelectionTables!$H$4,INDIRECT(CT_APtoSTA!$G$2),0),0)),0,SUM($H$4:$H17),1,ProductTable!$AB$2-SUM($H$4:$H17)),0)</f>
        <v>#REF!</v>
      </c>
      <c r="I18" s="248" t="e">
        <f ca="1">INDEX(INDIRECT(CT_APtoSTA!$G$3),1,SUM($H$4:$H18))</f>
        <v>#REF!</v>
      </c>
      <c r="J18" s="134" t="e">
        <f ca="1">MATCH(TRUE,OFFSET(INDIRECT(INDEX(INDIRECT(CT_STAtoWLAN!$B$4),0,MATCH(SelectionTables!$N$4,INDIRECT(CT_STAtoWLAN!$G$3),0))),SUM($J$4:$J17),0,ProductTable!$AB$2-SUM($J$4:$J17)),0)</f>
        <v>#REF!</v>
      </c>
      <c r="K18" s="248" t="str">
        <f ca="1">IF(ISERROR($J18),"",INDEX(INDIRECT(CT_STAtoWLAN!$G$2),SUM($J$4:$J18)))</f>
        <v/>
      </c>
      <c r="L18" s="184" t="b">
        <f t="shared" ca="1" si="3"/>
        <v>0</v>
      </c>
      <c r="M18" s="184" t="e">
        <f ca="1">MATCH(TRUE,OFFSET(INDIRECT($L$3),SUM($M$4:$M17),0),0)</f>
        <v>#N/A</v>
      </c>
      <c r="N18" s="251" t="str">
        <f ca="1">IF(ISERROR(M18),"",INDEX(INDIRECT($I$3),SUM($M$4:$M18)))</f>
        <v/>
      </c>
      <c r="O18" s="184" t="b">
        <f ca="1">IF(N18="",FALSE,IF(ISERROR(MATCH(N18,INDIRECT(ProductTable!$AD$4),0)),FALSE,TRUE))</f>
        <v>0</v>
      </c>
      <c r="P18" s="184" t="e">
        <f ca="1">MATCH(TRUE,OFFSET(INDIRECT($O$3),SUM($P$4:$P17),0),0)</f>
        <v>#N/A</v>
      </c>
      <c r="Q18" s="184" t="str">
        <f ca="1">IF(ISERROR(P18),"",INDEX(INDIRECT($N$3),SUM($P$4:$P18)))</f>
        <v/>
      </c>
      <c r="S18" s="134" t="e">
        <f ca="1">MATCH(TRUE,OFFSET(INDIRECT(INDEX(INDIRECT(CT_STAtoANT!$A$5),MATCH(SelectionTables!$G$4,INDIRECT(CT_STAtoANT!$G$2),0),0)),0,SUM($S$4:$S17),1,ProductTable!$H$2-SUM($S$4:$S17)),0)</f>
        <v>#REF!</v>
      </c>
      <c r="T18" s="184" t="e">
        <f ca="1">INDEX(INDIRECT(CT_STAtoANT!$G$3),1,SUM($S$4:$S18))</f>
        <v>#REF!</v>
      </c>
      <c r="U18" s="184" t="b">
        <f ca="1">IF(ISERROR(MATCH(T18,INDIRECT(ProductTable!$J$4),0)),FALSE,TRUE)</f>
        <v>0</v>
      </c>
      <c r="V18" s="184" t="e">
        <f ca="1">MATCH(TRUE,OFFSET(INDIRECT($U$3),SUM($V$4:$V17),0,ProductTable!$H$2-SUM($V$4:$V17),1),0)</f>
        <v>#REF!</v>
      </c>
      <c r="W18" s="184" t="str">
        <f ca="1">IF(ISERROR($V18),"",INDEX(INDIRECT($T$3),SUM($V$4:$V18)))</f>
        <v/>
      </c>
      <c r="Y18" s="184" t="e">
        <f ca="1">MATCH(TRUE,OFFSET(INDIRECT(INDEX(INDIRECT(CT_APtoC1!$A$5),MATCH(SelectionTables!$H$4,INDIRECT(CT_APtoC1!$G$2),0),0)),0,SUM($Y$4:$Y17),1,ProductTable!$C$2-SUM($Y$4:$Y17)),0)</f>
        <v>#REF!</v>
      </c>
      <c r="Z18" s="251" t="e">
        <f ca="1">INDEX(INDIRECT(CT_APtoC1!$G$3),1,SUM($Y$4:$Y18))</f>
        <v>#REF!</v>
      </c>
      <c r="AA18" s="184" t="e">
        <f ca="1">MATCH(TRUE,OFFSET(INDIRECT(INDEX(INDIRECT(CT_C1toANT!$B$4),0,MATCH(SelectionTables!$J$4,INDIRECT(CT_C1toANT!$G$3),0))),SUM(AA$4:AA17),0,ProductTable!$M$2-SUM(AA$4:AA17)),0)</f>
        <v>#REF!</v>
      </c>
      <c r="AB18" s="251" t="str">
        <f ca="1">IF(ISERROR(AA18),"",INDEX(INDIRECT(CT_C1toANT!$G$2),SUM(AA$4:AA18)))</f>
        <v/>
      </c>
      <c r="AC18" s="184" t="b">
        <f t="shared" ca="1" si="0"/>
        <v>0</v>
      </c>
      <c r="AD18" s="184" t="e">
        <f ca="1">MATCH(TRUE,OFFSET(INDIRECT($AC$3),SUM($AD$4:$AD17),0),0)</f>
        <v>#N/A</v>
      </c>
      <c r="AE18" s="184" t="e">
        <f ca="1">INDEX(INDIRECT($Z$3),SUM($AD$4:$AD18))</f>
        <v>#N/A</v>
      </c>
      <c r="AF18" s="184" t="b">
        <f ca="1">IF(ISERROR(MATCH(AE18,INDIRECT(ProductTable!$O$4),0)),FALSE,TRUE)</f>
        <v>0</v>
      </c>
      <c r="AG18" s="184" t="e">
        <f ca="1">MATCH(TRUE,OFFSET(INDIRECT($AF$3),SUM($AG$4:$AG17),0),0)</f>
        <v>#N/A</v>
      </c>
      <c r="AH18" s="184" t="str">
        <f ca="1">IF(ISERROR(AG18),"",INDEX(INDIRECT($AE$3),SUM($AG$4:$AG18)))</f>
        <v/>
      </c>
      <c r="AJ18" s="184" t="e">
        <f ca="1">MATCH(TRUE,OFFSET(INDIRECT(INDEX(INDIRECT(CT_SAtoC1!$A$5),MATCH(SelectionTables!$K$4,INDIRECT(CT_SAtoC1!$G$2),0),0)),0,SUM($AJ$4:$AJ17),1,ProductTable!$C$2-SUM($AJ$4:$AJ17)),0)</f>
        <v>#REF!</v>
      </c>
      <c r="AK18" s="251" t="e">
        <f ca="1">INDEX(INDIRECT(CT_SAtoC1!$G$3),1,SUM($AJ$4:$AJ18))</f>
        <v>#REF!</v>
      </c>
      <c r="AL18" s="184" t="e">
        <f ca="1">MATCH(TRUE,OFFSET(INDIRECT(INDEX(INDIRECT(CT_C1toANT!$B$4),0,MATCH(SelectionTables!$J$4,INDIRECT(CT_C1toANT!$G$3),0))),SUM(AL$4:AL17),0,ProductTable!$M$2-SUM(AL$4:AL17)),0)</f>
        <v>#REF!</v>
      </c>
      <c r="AM18" s="251" t="str">
        <f ca="1">IF(ISERROR(AL18),"",INDEX(INDIRECT(CT_C1toANT!$G$2),SUM(AL$4:AL18)))</f>
        <v/>
      </c>
      <c r="AN18" s="184" t="b">
        <f t="shared" ca="1" si="1"/>
        <v>0</v>
      </c>
      <c r="AO18" s="184" t="e">
        <f ca="1">MATCH(TRUE,OFFSET(INDIRECT(AN$3),SUM(AO$4:AO17),0),0)</f>
        <v>#N/A</v>
      </c>
      <c r="AP18" s="184" t="e">
        <f ca="1">INDEX(INDIRECT(AK$3),SUM(AO$4:AO18))</f>
        <v>#N/A</v>
      </c>
      <c r="AQ18" s="184" t="b">
        <f ca="1">IF(ISERROR(MATCH(AP18,INDIRECT(ProductTable!$AI$4),0)),FALSE,TRUE)</f>
        <v>0</v>
      </c>
      <c r="AR18" s="184" t="e">
        <f ca="1">MATCH(TRUE,OFFSET(INDIRECT($AQ$3),SUM($AR$4:$AR17),0),0)</f>
        <v>#N/A</v>
      </c>
      <c r="AS18" s="184" t="str">
        <f ca="1">IF(ISERROR(AR18),"",INDEX(INDIRECT(AP$3),SUM(AR$4:AR18)))</f>
        <v/>
      </c>
      <c r="AU18" s="184">
        <f ca="1">IF(OR(EXACT(SelectionTables!$I$4,ProductTable!$L$7),EXACT(SelectionTables!$I$4,"")),"",ProductTable!T21)</f>
        <v>0</v>
      </c>
      <c r="AW18" s="540" t="e">
        <f ca="1">MATCH(TRUE,OFFSET(INDIRECT(INDEX(INDIRECT(CT_STAtoANT!$A$5),MATCH(SelectionTables!$G$4,INDIRECT(CT_STAtoANT!$G$2),0),0)),0,SUM($AW$4:$AW17),1,ProductTable!$H$2-SUM($AW$4:$AW17)),0)</f>
        <v>#REF!</v>
      </c>
      <c r="AX18" s="541" t="e">
        <f ca="1">INDEX(INDIRECT(CT_STAtoANT!$G$3),1,SUM($AW$4:$AW18))</f>
        <v>#REF!</v>
      </c>
      <c r="AY18" s="541" t="b">
        <f ca="1">IF(ISERROR(MATCH(AX18,INDIRECT(ProductTable!$J$4),0)),FALSE,TRUE)</f>
        <v>0</v>
      </c>
      <c r="AZ18" s="541" t="e">
        <f ca="1">MATCH(TRUE,OFFSET(INDIRECT($AY$3),SUM($AZ$4:$AZ17),0,ProductTable!$H$2-SUM($AZ$4:$AZ17),1),0)</f>
        <v>#REF!</v>
      </c>
      <c r="BA18" s="541" t="str">
        <f ca="1">IF(ISERROR($AZ18),"",INDEX(INDIRECT($AX$3),SUM($AZ$4:$AZ18)))</f>
        <v/>
      </c>
      <c r="BB18" s="541" t="e">
        <f ca="1">MATCH(TRUE,OFFSET(INDIRECT(INDEX(INDIRECT(CT_APtoANT!$A$5),MATCH(SelectionTables!$H$4,INDIRECT(CT_APtoANT!$G$2),0),0)),0,SUM($BB$4:$BB17),1,ProductTable!$H$2-SUM($BB$4:$BB17)),0)</f>
        <v>#REF!</v>
      </c>
      <c r="BC18" s="541" t="e">
        <f ca="1">INDEX(INDIRECT(CT_APtoANT!$G$3),1,SUM($BB$4:$BB18))</f>
        <v>#REF!</v>
      </c>
      <c r="BD18" s="541" t="b">
        <f t="shared" ca="1" si="2"/>
        <v>0</v>
      </c>
      <c r="BE18" s="541" t="e">
        <f ca="1">MATCH(TRUE,OFFSET(INDIRECT($BD$3),SUM($BE$4:$BE17),0,ProductTable!$H$2-SUM($BE$4:$BE17),1),0)</f>
        <v>#REF!</v>
      </c>
      <c r="BF18" s="541" t="str">
        <f ca="1">IF(ISERROR($BE18),"",INDEX(INDIRECT($BA$3),SUM($BE$4:$BE18)))</f>
        <v/>
      </c>
      <c r="BH18" s="541">
        <f ca="1">MATCH(TRUE,OFFSET(INDIRECT(INDEX(INDIRECT(CT_APtoC1!$A$5),MATCH(SelectionTables!$H$4,INDIRECT(CT_APtoC1!$G$2),0),0)),0,SUM($BH$4:$BH17),1,ProductTable!$AG$2-SUM($BH$4:$BH17)),0)</f>
        <v>1</v>
      </c>
      <c r="BI18" s="541" t="str">
        <f ca="1">INDEX(INDIRECT(CT_APtoC1!$G$3),1,SUM($BH$4:$BH18))</f>
        <v>AirLancer AN-RPSMA-NJ</v>
      </c>
      <c r="BJ18" s="541" t="b">
        <f ca="1">IF(ISERROR(MATCH(BI18,INDIRECT(ProductTable!$AI$4),0)),FALSE,TRUE)</f>
        <v>0</v>
      </c>
      <c r="BK18" s="541" t="e">
        <f ca="1">MATCH(TRUE,OFFSET(INDIRECT($BJ$3),SUM($BK$4:$BK17),0,ProductTable!$AG$2-SUM($BK$4:$BK17),1),0)</f>
        <v>#N/A</v>
      </c>
      <c r="BL18" s="541" t="str">
        <f ca="1">IF(ISERROR($BK18),"",INDEX(INDIRECT($BI$3),SUM($BK$4:$BK18)))</f>
        <v/>
      </c>
    </row>
    <row r="19" spans="2:64" x14ac:dyDescent="0.25">
      <c r="B19" s="134" t="e">
        <f ca="1">MATCH(TRUE,OFFSET(INDIRECT(INDEX(INDIRECT(CT_APtoWLAN!$A$5),MATCH(SelectionTables!$H$4,INDIRECT(CT_APtoWLAN!$G$2),0),0)),0,SUM($B$4:$B18),1,ProductTable!$W$2-SUM($B$4:$B18)),0)</f>
        <v>#N/A</v>
      </c>
      <c r="C19" s="134" t="e">
        <f ca="1">INDEX(INDIRECT(CT_APtoWLAN!$G$3),1,SUM($B$4:$B19))</f>
        <v>#N/A</v>
      </c>
      <c r="D19" s="134" t="b">
        <f ca="1">IF(ISERROR(MATCH(C19,INDIRECT(ProductTable!$Y$4),0)),FALSE,TRUE)</f>
        <v>0</v>
      </c>
      <c r="E19" s="134" t="e">
        <f ca="1">MATCH(TRUE,OFFSET(INDIRECT($D$3),SUM($E$4:$E18),0,ProductTable!$W$2-SUM($E$4:$E18),1),0)</f>
        <v>#N/A</v>
      </c>
      <c r="F19" s="184" t="str">
        <f ca="1">IF(ISERROR($E19),"",INDEX(INDIRECT($C$3),SUM($E$4:$E19)))</f>
        <v/>
      </c>
      <c r="H19" s="134" t="e">
        <f ca="1">MATCH(TRUE,OFFSET(INDIRECT(INDEX(INDIRECT(CT_APtoSTA!$A$5),MATCH(SelectionTables!$H$4,INDIRECT(CT_APtoSTA!$G$2),0),0)),0,SUM($H$4:$H18),1,ProductTable!$AB$2-SUM($H$4:$H18)),0)</f>
        <v>#REF!</v>
      </c>
      <c r="I19" s="248" t="e">
        <f ca="1">INDEX(INDIRECT(CT_APtoSTA!$G$3),1,SUM($H$4:$H19))</f>
        <v>#REF!</v>
      </c>
      <c r="J19" s="134" t="e">
        <f ca="1">MATCH(TRUE,OFFSET(INDIRECT(INDEX(INDIRECT(CT_STAtoWLAN!$B$4),0,MATCH(SelectionTables!$N$4,INDIRECT(CT_STAtoWLAN!$G$3),0))),SUM($J$4:$J18),0,ProductTable!$AB$2-SUM($J$4:$J18)),0)</f>
        <v>#REF!</v>
      </c>
      <c r="K19" s="248" t="str">
        <f ca="1">IF(ISERROR($J19),"",INDEX(INDIRECT(CT_STAtoWLAN!$G$2),SUM($J$4:$J19)))</f>
        <v/>
      </c>
      <c r="L19" s="184" t="b">
        <f t="shared" ca="1" si="3"/>
        <v>0</v>
      </c>
      <c r="M19" s="184" t="e">
        <f ca="1">MATCH(TRUE,OFFSET(INDIRECT($L$3),SUM($M$4:$M18),0),0)</f>
        <v>#N/A</v>
      </c>
      <c r="N19" s="251" t="str">
        <f ca="1">IF(ISERROR(M19),"",INDEX(INDIRECT($I$3),SUM($M$4:$M19)))</f>
        <v/>
      </c>
      <c r="O19" s="184" t="b">
        <f ca="1">IF(N19="",FALSE,IF(ISERROR(MATCH(N19,INDIRECT(ProductTable!$AD$4),0)),FALSE,TRUE))</f>
        <v>0</v>
      </c>
      <c r="P19" s="184" t="e">
        <f ca="1">MATCH(TRUE,OFFSET(INDIRECT($O$3),SUM($P$4:$P18),0),0)</f>
        <v>#N/A</v>
      </c>
      <c r="Q19" s="184" t="str">
        <f ca="1">IF(ISERROR(P19),"",INDEX(INDIRECT($N$3),SUM($P$4:$P19)))</f>
        <v/>
      </c>
      <c r="S19" s="134" t="e">
        <f ca="1">MATCH(TRUE,OFFSET(INDIRECT(INDEX(INDIRECT(CT_STAtoANT!$A$5),MATCH(SelectionTables!$G$4,INDIRECT(CT_STAtoANT!$G$2),0),0)),0,SUM($S$4:$S18),1,ProductTable!$H$2-SUM($S$4:$S18)),0)</f>
        <v>#REF!</v>
      </c>
      <c r="T19" s="184" t="e">
        <f ca="1">INDEX(INDIRECT(CT_STAtoANT!$G$3),1,SUM($S$4:$S19))</f>
        <v>#REF!</v>
      </c>
      <c r="U19" s="184" t="b">
        <f ca="1">IF(ISERROR(MATCH(T19,INDIRECT(ProductTable!$J$4),0)),FALSE,TRUE)</f>
        <v>0</v>
      </c>
      <c r="V19" s="184" t="e">
        <f ca="1">MATCH(TRUE,OFFSET(INDIRECT($U$3),SUM($V$4:$V18),0,ProductTable!$H$2-SUM($V$4:$V18),1),0)</f>
        <v>#REF!</v>
      </c>
      <c r="W19" s="184" t="str">
        <f ca="1">IF(ISERROR($V19),"",INDEX(INDIRECT($T$3),SUM($V$4:$V19)))</f>
        <v/>
      </c>
      <c r="Y19" s="184" t="e">
        <f ca="1">MATCH(TRUE,OFFSET(INDIRECT(INDEX(INDIRECT(CT_APtoC1!$A$5),MATCH(SelectionTables!$H$4,INDIRECT(CT_APtoC1!$G$2),0),0)),0,SUM($Y$4:$Y18),1,ProductTable!$C$2-SUM($Y$4:$Y18)),0)</f>
        <v>#REF!</v>
      </c>
      <c r="Z19" s="251" t="e">
        <f ca="1">INDEX(INDIRECT(CT_APtoC1!$G$3),1,SUM($Y$4:$Y19))</f>
        <v>#REF!</v>
      </c>
      <c r="AA19" s="184" t="e">
        <f ca="1">MATCH(TRUE,OFFSET(INDIRECT(INDEX(INDIRECT(CT_C1toANT!$B$4),0,MATCH(SelectionTables!$J$4,INDIRECT(CT_C1toANT!$G$3),0))),SUM(AA$4:AA18),0,ProductTable!$M$2-SUM(AA$4:AA18)),0)</f>
        <v>#REF!</v>
      </c>
      <c r="AB19" s="251" t="str">
        <f ca="1">IF(ISERROR(AA19),"",INDEX(INDIRECT(CT_C1toANT!$G$2),SUM(AA$4:AA19)))</f>
        <v/>
      </c>
      <c r="AC19" s="184" t="b">
        <f t="shared" ca="1" si="0"/>
        <v>0</v>
      </c>
      <c r="AD19" s="184" t="e">
        <f ca="1">MATCH(TRUE,OFFSET(INDIRECT($AC$3),SUM($AD$4:$AD18),0),0)</f>
        <v>#N/A</v>
      </c>
      <c r="AE19" s="184" t="e">
        <f ca="1">INDEX(INDIRECT($Z$3),SUM($AD$4:$AD19))</f>
        <v>#N/A</v>
      </c>
      <c r="AF19" s="184" t="b">
        <f ca="1">IF(ISERROR(MATCH(AE19,INDIRECT(ProductTable!$O$4),0)),FALSE,TRUE)</f>
        <v>0</v>
      </c>
      <c r="AG19" s="184" t="e">
        <f ca="1">MATCH(TRUE,OFFSET(INDIRECT($AF$3),SUM($AG$4:$AG18),0),0)</f>
        <v>#N/A</v>
      </c>
      <c r="AH19" s="184" t="str">
        <f ca="1">IF(ISERROR(AG19),"",INDEX(INDIRECT($AE$3),SUM($AG$4:$AG19)))</f>
        <v/>
      </c>
      <c r="AJ19" s="184" t="e">
        <f ca="1">MATCH(TRUE,OFFSET(INDIRECT(INDEX(INDIRECT(CT_SAtoC1!$A$5),MATCH(SelectionTables!$K$4,INDIRECT(CT_SAtoC1!$G$2),0),0)),0,SUM($AJ$4:$AJ18),1,ProductTable!$C$2-SUM($AJ$4:$AJ18)),0)</f>
        <v>#REF!</v>
      </c>
      <c r="AK19" s="251" t="e">
        <f ca="1">INDEX(INDIRECT(CT_SAtoC1!$G$3),1,SUM($AJ$4:$AJ19))</f>
        <v>#REF!</v>
      </c>
      <c r="AL19" s="184" t="e">
        <f ca="1">MATCH(TRUE,OFFSET(INDIRECT(INDEX(INDIRECT(CT_C1toANT!$B$4),0,MATCH(SelectionTables!$J$4,INDIRECT(CT_C1toANT!$G$3),0))),SUM(AL$4:AL18),0,ProductTable!$M$2-SUM(AL$4:AL18)),0)</f>
        <v>#REF!</v>
      </c>
      <c r="AM19" s="251" t="str">
        <f ca="1">IF(ISERROR(AL19),"",INDEX(INDIRECT(CT_C1toANT!$G$2),SUM(AL$4:AL19)))</f>
        <v/>
      </c>
      <c r="AN19" s="184" t="b">
        <f t="shared" ca="1" si="1"/>
        <v>0</v>
      </c>
      <c r="AO19" s="184" t="e">
        <f ca="1">MATCH(TRUE,OFFSET(INDIRECT(AN$3),SUM(AO$4:AO18),0),0)</f>
        <v>#N/A</v>
      </c>
      <c r="AP19" s="184" t="e">
        <f ca="1">INDEX(INDIRECT(AK$3),SUM(AO$4:AO19))</f>
        <v>#N/A</v>
      </c>
      <c r="AQ19" s="184" t="b">
        <f ca="1">IF(ISERROR(MATCH(AP19,INDIRECT(ProductTable!$AI$4),0)),FALSE,TRUE)</f>
        <v>0</v>
      </c>
      <c r="AR19" s="184" t="e">
        <f ca="1">MATCH(TRUE,OFFSET(INDIRECT($AQ$3),SUM($AR$4:$AR18),0),0)</f>
        <v>#N/A</v>
      </c>
      <c r="AS19" s="184" t="str">
        <f ca="1">IF(ISERROR(AR19),"",INDEX(INDIRECT(AP$3),SUM(AR$4:AR19)))</f>
        <v/>
      </c>
      <c r="AU19" s="184">
        <f ca="1">IF(OR(EXACT(SelectionTables!$I$4,ProductTable!$L$7),EXACT(SelectionTables!$I$4,"")),"",ProductTable!T22)</f>
        <v>0</v>
      </c>
      <c r="AW19" s="540" t="e">
        <f ca="1">MATCH(TRUE,OFFSET(INDIRECT(INDEX(INDIRECT(CT_STAtoANT!$A$5),MATCH(SelectionTables!$G$4,INDIRECT(CT_STAtoANT!$G$2),0),0)),0,SUM($AW$4:$AW18),1,ProductTable!$H$2-SUM($AW$4:$AW18)),0)</f>
        <v>#REF!</v>
      </c>
      <c r="AX19" s="541" t="e">
        <f ca="1">INDEX(INDIRECT(CT_STAtoANT!$G$3),1,SUM($AW$4:$AW19))</f>
        <v>#REF!</v>
      </c>
      <c r="AY19" s="541" t="b">
        <f ca="1">IF(ISERROR(MATCH(AX19,INDIRECT(ProductTable!$J$4),0)),FALSE,TRUE)</f>
        <v>0</v>
      </c>
      <c r="AZ19" s="541" t="e">
        <f ca="1">MATCH(TRUE,OFFSET(INDIRECT($AY$3),SUM($AZ$4:$AZ18),0,ProductTable!$H$2-SUM($AZ$4:$AZ18),1),0)</f>
        <v>#REF!</v>
      </c>
      <c r="BA19" s="541" t="str">
        <f ca="1">IF(ISERROR($AZ19),"",INDEX(INDIRECT($AX$3),SUM($AZ$4:$AZ19)))</f>
        <v/>
      </c>
      <c r="BB19" s="541" t="e">
        <f ca="1">MATCH(TRUE,OFFSET(INDIRECT(INDEX(INDIRECT(CT_APtoANT!$A$5),MATCH(SelectionTables!$H$4,INDIRECT(CT_APtoANT!$G$2),0),0)),0,SUM($BB$4:$BB18),1,ProductTable!$H$2-SUM($BB$4:$BB18)),0)</f>
        <v>#REF!</v>
      </c>
      <c r="BC19" s="541" t="e">
        <f ca="1">INDEX(INDIRECT(CT_APtoANT!$G$3),1,SUM($BB$4:$BB19))</f>
        <v>#REF!</v>
      </c>
      <c r="BD19" s="541" t="b">
        <f t="shared" ca="1" si="2"/>
        <v>0</v>
      </c>
      <c r="BE19" s="541" t="e">
        <f ca="1">MATCH(TRUE,OFFSET(INDIRECT($BD$3),SUM($BE$4:$BE18),0,ProductTable!$H$2-SUM($BE$4:$BE18),1),0)</f>
        <v>#REF!</v>
      </c>
      <c r="BF19" s="541" t="str">
        <f ca="1">IF(ISERROR($BE19),"",INDEX(INDIRECT($BA$3),SUM($BE$4:$BE19)))</f>
        <v/>
      </c>
      <c r="BH19" s="541">
        <f ca="1">MATCH(TRUE,OFFSET(INDIRECT(INDEX(INDIRECT(CT_APtoC1!$A$5),MATCH(SelectionTables!$H$4,INDIRECT(CT_APtoC1!$G$2),0),0)),0,SUM($BH$4:$BH18),1,ProductTable!$AG$2-SUM($BH$4:$BH18)),0)</f>
        <v>1</v>
      </c>
      <c r="BI19" s="541" t="str">
        <f ca="1">INDEX(INDIRECT(CT_APtoC1!$G$3),1,SUM($BH$4:$BH19))</f>
        <v>No cable</v>
      </c>
      <c r="BJ19" s="541" t="b">
        <f ca="1">IF(ISERROR(MATCH(BI19,INDIRECT(ProductTable!$AI$4),0)),FALSE,TRUE)</f>
        <v>1</v>
      </c>
      <c r="BK19" s="541" t="e">
        <f ca="1">MATCH(TRUE,OFFSET(INDIRECT($BJ$3),SUM($BK$4:$BK18),0,ProductTable!$AG$2-SUM($BK$4:$BK18),1),0)</f>
        <v>#N/A</v>
      </c>
      <c r="BL19" s="541" t="str">
        <f ca="1">IF(ISERROR($BK19),"",INDEX(INDIRECT($BI$3),SUM($BK$4:$BK19)))</f>
        <v/>
      </c>
    </row>
    <row r="20" spans="2:64" x14ac:dyDescent="0.25">
      <c r="B20" s="134" t="e">
        <f ca="1">MATCH(TRUE,OFFSET(INDIRECT(INDEX(INDIRECT(CT_APtoWLAN!$A$5),MATCH(SelectionTables!$H$4,INDIRECT(CT_APtoWLAN!$G$2),0),0)),0,SUM($B$4:$B19),1,ProductTable!$W$2-SUM($B$4:$B19)),0)</f>
        <v>#N/A</v>
      </c>
      <c r="C20" s="134" t="e">
        <f ca="1">INDEX(INDIRECT(CT_APtoWLAN!$G$3),1,SUM($B$4:$B20))</f>
        <v>#N/A</v>
      </c>
      <c r="D20" s="134" t="b">
        <f ca="1">IF(ISERROR(MATCH(C20,INDIRECT(ProductTable!$Y$4),0)),FALSE,TRUE)</f>
        <v>0</v>
      </c>
      <c r="E20" s="134" t="e">
        <f ca="1">MATCH(TRUE,OFFSET(INDIRECT($D$3),SUM($E$4:$E19),0,ProductTable!$W$2-SUM($E$4:$E19),1),0)</f>
        <v>#N/A</v>
      </c>
      <c r="F20" s="184" t="str">
        <f ca="1">IF(ISERROR($E20),"",INDEX(INDIRECT($C$3),SUM($E$4:$E20)))</f>
        <v/>
      </c>
      <c r="H20" s="134" t="e">
        <f ca="1">MATCH(TRUE,OFFSET(INDIRECT(INDEX(INDIRECT(CT_APtoSTA!$A$5),MATCH(SelectionTables!$H$4,INDIRECT(CT_APtoSTA!$G$2),0),0)),0,SUM($H$4:$H19),1,ProductTable!$AB$2-SUM($H$4:$H19)),0)</f>
        <v>#REF!</v>
      </c>
      <c r="I20" s="248" t="e">
        <f ca="1">INDEX(INDIRECT(CT_APtoSTA!$G$3),1,SUM($H$4:$H20))</f>
        <v>#REF!</v>
      </c>
      <c r="J20" s="134" t="e">
        <f ca="1">MATCH(TRUE,OFFSET(INDIRECT(INDEX(INDIRECT(CT_STAtoWLAN!$B$4),0,MATCH(SelectionTables!$N$4,INDIRECT(CT_STAtoWLAN!$G$3),0))),SUM($J$4:$J19),0,ProductTable!$AB$2-SUM($J$4:$J19)),0)</f>
        <v>#REF!</v>
      </c>
      <c r="K20" s="248" t="str">
        <f ca="1">IF(ISERROR($J20),"",INDEX(INDIRECT(CT_STAtoWLAN!$G$2),SUM($J$4:$J20)))</f>
        <v/>
      </c>
      <c r="L20" s="184" t="b">
        <f t="shared" ca="1" si="3"/>
        <v>0</v>
      </c>
      <c r="M20" s="184" t="e">
        <f ca="1">MATCH(TRUE,OFFSET(INDIRECT($L$3),SUM($M$4:$M19),0),0)</f>
        <v>#N/A</v>
      </c>
      <c r="N20" s="251" t="str">
        <f ca="1">IF(ISERROR(M20),"",INDEX(INDIRECT($I$3),SUM($M$4:$M20)))</f>
        <v/>
      </c>
      <c r="O20" s="184" t="b">
        <f ca="1">IF(N20="",FALSE,IF(ISERROR(MATCH(N20,INDIRECT(ProductTable!$AD$4),0)),FALSE,TRUE))</f>
        <v>0</v>
      </c>
      <c r="P20" s="184" t="e">
        <f ca="1">MATCH(TRUE,OFFSET(INDIRECT($O$3),SUM($P$4:$P19),0),0)</f>
        <v>#N/A</v>
      </c>
      <c r="Q20" s="184" t="str">
        <f ca="1">IF(ISERROR(P20),"",INDEX(INDIRECT($N$3),SUM($P$4:$P20)))</f>
        <v/>
      </c>
      <c r="S20" s="134" t="e">
        <f ca="1">MATCH(TRUE,OFFSET(INDIRECT(INDEX(INDIRECT(CT_STAtoANT!$A$5),MATCH(SelectionTables!$G$4,INDIRECT(CT_STAtoANT!$G$2),0),0)),0,SUM($S$4:$S19),1,ProductTable!$H$2-SUM($S$4:$S19)),0)</f>
        <v>#REF!</v>
      </c>
      <c r="T20" s="184" t="e">
        <f ca="1">INDEX(INDIRECT(CT_STAtoANT!$G$3),1,SUM($S$4:$S20))</f>
        <v>#REF!</v>
      </c>
      <c r="U20" s="184" t="b">
        <f ca="1">IF(ISERROR(MATCH(T20,INDIRECT(ProductTable!$J$4),0)),FALSE,TRUE)</f>
        <v>0</v>
      </c>
      <c r="V20" s="184" t="e">
        <f ca="1">MATCH(TRUE,OFFSET(INDIRECT($U$3),SUM($V$4:$V19),0,ProductTable!$H$2-SUM($V$4:$V19),1),0)</f>
        <v>#REF!</v>
      </c>
      <c r="W20" s="184" t="str">
        <f ca="1">IF(ISERROR($V20),"",INDEX(INDIRECT($T$3),SUM($V$4:$V20)))</f>
        <v/>
      </c>
      <c r="Y20" s="184" t="e">
        <f ca="1">MATCH(TRUE,OFFSET(INDIRECT(INDEX(INDIRECT(CT_APtoC1!$A$5),MATCH(SelectionTables!$H$4,INDIRECT(CT_APtoC1!$G$2),0),0)),0,SUM($Y$4:$Y19),1,ProductTable!$C$2-SUM($Y$4:$Y19)),0)</f>
        <v>#REF!</v>
      </c>
      <c r="Z20" s="251" t="e">
        <f ca="1">INDEX(INDIRECT(CT_APtoC1!$G$3),1,SUM($Y$4:$Y20))</f>
        <v>#REF!</v>
      </c>
      <c r="AA20" s="184" t="e">
        <f ca="1">MATCH(TRUE,OFFSET(INDIRECT(INDEX(INDIRECT(CT_C1toANT!$B$4),0,MATCH(SelectionTables!$J$4,INDIRECT(CT_C1toANT!$G$3),0))),SUM(AA$4:AA19),0,ProductTable!$M$2-SUM(AA$4:AA19)),0)</f>
        <v>#REF!</v>
      </c>
      <c r="AB20" s="251" t="str">
        <f ca="1">IF(ISERROR(AA20),"",INDEX(INDIRECT(CT_C1toANT!$G$2),SUM(AA$4:AA20)))</f>
        <v/>
      </c>
      <c r="AC20" s="184" t="b">
        <f t="shared" ca="1" si="0"/>
        <v>0</v>
      </c>
      <c r="AD20" s="184" t="e">
        <f ca="1">MATCH(TRUE,OFFSET(INDIRECT($AC$3),SUM($AD$4:$AD19),0),0)</f>
        <v>#N/A</v>
      </c>
      <c r="AE20" s="184" t="e">
        <f ca="1">INDEX(INDIRECT($Z$3),SUM($AD$4:$AD20))</f>
        <v>#N/A</v>
      </c>
      <c r="AF20" s="184" t="b">
        <f ca="1">IF(ISERROR(MATCH(AE20,INDIRECT(ProductTable!$O$4),0)),FALSE,TRUE)</f>
        <v>0</v>
      </c>
      <c r="AG20" s="184" t="e">
        <f ca="1">MATCH(TRUE,OFFSET(INDIRECT($AF$3),SUM($AG$4:$AG19),0),0)</f>
        <v>#N/A</v>
      </c>
      <c r="AH20" s="184" t="str">
        <f ca="1">IF(ISERROR(AG20),"",INDEX(INDIRECT($AE$3),SUM($AG$4:$AG20)))</f>
        <v/>
      </c>
      <c r="AJ20" s="184" t="e">
        <f ca="1">MATCH(TRUE,OFFSET(INDIRECT(INDEX(INDIRECT(CT_SAtoC1!$A$5),MATCH(SelectionTables!$K$4,INDIRECT(CT_SAtoC1!$G$2),0),0)),0,SUM($AJ$4:$AJ19),1,ProductTable!$C$2-SUM($AJ$4:$AJ19)),0)</f>
        <v>#REF!</v>
      </c>
      <c r="AK20" s="251" t="e">
        <f ca="1">INDEX(INDIRECT(CT_SAtoC1!$G$3),1,SUM($AJ$4:$AJ20))</f>
        <v>#REF!</v>
      </c>
      <c r="AL20" s="184" t="e">
        <f ca="1">MATCH(TRUE,OFFSET(INDIRECT(INDEX(INDIRECT(CT_C1toANT!$B$4),0,MATCH(SelectionTables!$J$4,INDIRECT(CT_C1toANT!$G$3),0))),SUM(AL$4:AL19),0,ProductTable!$M$2-SUM(AL$4:AL19)),0)</f>
        <v>#REF!</v>
      </c>
      <c r="AM20" s="251" t="str">
        <f ca="1">IF(ISERROR(AL20),"",INDEX(INDIRECT(CT_C1toANT!$G$2),SUM(AL$4:AL20)))</f>
        <v/>
      </c>
      <c r="AN20" s="184" t="b">
        <f t="shared" ca="1" si="1"/>
        <v>0</v>
      </c>
      <c r="AO20" s="184" t="e">
        <f ca="1">MATCH(TRUE,OFFSET(INDIRECT(AN$3),SUM(AO$4:AO19),0),0)</f>
        <v>#N/A</v>
      </c>
      <c r="AP20" s="184" t="e">
        <f ca="1">INDEX(INDIRECT(AK$3),SUM(AO$4:AO20))</f>
        <v>#N/A</v>
      </c>
      <c r="AQ20" s="184" t="b">
        <f ca="1">IF(ISERROR(MATCH(AP20,INDIRECT(ProductTable!$AI$4),0)),FALSE,TRUE)</f>
        <v>0</v>
      </c>
      <c r="AR20" s="184" t="e">
        <f ca="1">MATCH(TRUE,OFFSET(INDIRECT($AQ$3),SUM($AR$4:$AR19),0),0)</f>
        <v>#N/A</v>
      </c>
      <c r="AS20" s="184" t="str">
        <f ca="1">IF(ISERROR(AR20),"",INDEX(INDIRECT(AP$3),SUM(AR$4:AR20)))</f>
        <v/>
      </c>
      <c r="AU20" s="184">
        <f ca="1">IF(OR(EXACT(SelectionTables!$I$4,ProductTable!$L$7),EXACT(SelectionTables!$I$4,"")),"",ProductTable!T23)</f>
        <v>0</v>
      </c>
      <c r="AW20" s="540" t="e">
        <f ca="1">MATCH(TRUE,OFFSET(INDIRECT(INDEX(INDIRECT(CT_STAtoANT!$A$5),MATCH(SelectionTables!$G$4,INDIRECT(CT_STAtoANT!$G$2),0),0)),0,SUM($AW$4:$AW19),1,ProductTable!$H$2-SUM($AW$4:$AW19)),0)</f>
        <v>#REF!</v>
      </c>
      <c r="AX20" s="541" t="e">
        <f ca="1">INDEX(INDIRECT(CT_STAtoANT!$G$3),1,SUM($AW$4:$AW20))</f>
        <v>#REF!</v>
      </c>
      <c r="AY20" s="541" t="b">
        <f ca="1">IF(ISERROR(MATCH(AX20,INDIRECT(ProductTable!$J$4),0)),FALSE,TRUE)</f>
        <v>0</v>
      </c>
      <c r="AZ20" s="541" t="e">
        <f ca="1">MATCH(TRUE,OFFSET(INDIRECT($AY$3),SUM($AZ$4:$AZ19),0,ProductTable!$H$2-SUM($AZ$4:$AZ19),1),0)</f>
        <v>#REF!</v>
      </c>
      <c r="BA20" s="541" t="str">
        <f ca="1">IF(ISERROR($AZ20),"",INDEX(INDIRECT($AX$3),SUM($AZ$4:$AZ20)))</f>
        <v/>
      </c>
      <c r="BB20" s="541" t="e">
        <f ca="1">MATCH(TRUE,OFFSET(INDIRECT(INDEX(INDIRECT(CT_APtoANT!$A$5),MATCH(SelectionTables!$H$4,INDIRECT(CT_APtoANT!$G$2),0),0)),0,SUM($BB$4:$BB19),1,ProductTable!$H$2-SUM($BB$4:$BB19)),0)</f>
        <v>#REF!</v>
      </c>
      <c r="BC20" s="541" t="e">
        <f ca="1">INDEX(INDIRECT(CT_APtoANT!$G$3),1,SUM($BB$4:$BB20))</f>
        <v>#REF!</v>
      </c>
      <c r="BD20" s="541" t="b">
        <f t="shared" ca="1" si="2"/>
        <v>0</v>
      </c>
      <c r="BE20" s="541" t="e">
        <f ca="1">MATCH(TRUE,OFFSET(INDIRECT($BD$3),SUM($BE$4:$BE19),0,ProductTable!$H$2-SUM($BE$4:$BE19),1),0)</f>
        <v>#REF!</v>
      </c>
      <c r="BF20" s="541" t="str">
        <f ca="1">IF(ISERROR($BE20),"",INDEX(INDIRECT($BA$3),SUM($BE$4:$BE20)))</f>
        <v/>
      </c>
      <c r="BH20" s="541">
        <f ca="1">MATCH(TRUE,OFFSET(INDIRECT(INDEX(INDIRECT(CT_APtoC1!$A$5),MATCH(SelectionTables!$H$4,INDIRECT(CT_APtoC1!$G$2),0),0)),0,SUM($BH$4:$BH19),1,ProductTable!$AG$2-SUM($BH$4:$BH19)),0)</f>
        <v>1</v>
      </c>
      <c r="BI20" s="541" t="str">
        <f ca="1">INDEX(INDIRECT(CT_APtoC1!$G$3),1,SUM($BH$4:$BH20))</f>
        <v>Other cable</v>
      </c>
      <c r="BJ20" s="541" t="b">
        <f ca="1">IF(ISERROR(MATCH(BI20,INDIRECT(ProductTable!$AI$4),0)),FALSE,TRUE)</f>
        <v>1</v>
      </c>
      <c r="BK20" s="541" t="e">
        <f ca="1">MATCH(TRUE,OFFSET(INDIRECT($BJ$3),SUM($BK$4:$BK19),0,ProductTable!$AG$2-SUM($BK$4:$BK19),1),0)</f>
        <v>#N/A</v>
      </c>
      <c r="BL20" s="541" t="str">
        <f ca="1">IF(ISERROR($BK20),"",INDEX(INDIRECT($BI$3),SUM($BK$4:$BK20)))</f>
        <v/>
      </c>
    </row>
    <row r="21" spans="2:64" x14ac:dyDescent="0.25">
      <c r="B21" s="134" t="e">
        <f ca="1">MATCH(TRUE,OFFSET(INDIRECT(INDEX(INDIRECT(CT_APtoWLAN!$A$5),MATCH(SelectionTables!$H$4,INDIRECT(CT_APtoWLAN!$G$2),0),0)),0,SUM($B$4:$B20),1,ProductTable!$W$2-SUM($B$4:$B20)),0)</f>
        <v>#N/A</v>
      </c>
      <c r="C21" s="134" t="e">
        <f ca="1">INDEX(INDIRECT(CT_APtoWLAN!$G$3),1,SUM($B$4:$B21))</f>
        <v>#N/A</v>
      </c>
      <c r="D21" s="134" t="b">
        <f ca="1">IF(ISERROR(MATCH(C21,INDIRECT(ProductTable!$Y$4),0)),FALSE,TRUE)</f>
        <v>0</v>
      </c>
      <c r="E21" s="134" t="e">
        <f ca="1">MATCH(TRUE,OFFSET(INDIRECT($D$3),SUM($E$4:$E20),0,ProductTable!$W$2-SUM($E$4:$E20),1),0)</f>
        <v>#N/A</v>
      </c>
      <c r="F21" s="184" t="str">
        <f ca="1">IF(ISERROR($E21),"",INDEX(INDIRECT($C$3),SUM($E$4:$E21)))</f>
        <v/>
      </c>
      <c r="H21" s="134" t="e">
        <f ca="1">MATCH(TRUE,OFFSET(INDIRECT(INDEX(INDIRECT(CT_APtoSTA!$A$5),MATCH(SelectionTables!$H$4,INDIRECT(CT_APtoSTA!$G$2),0),0)),0,SUM($H$4:$H20),1,ProductTable!$AB$2-SUM($H$4:$H20)),0)</f>
        <v>#REF!</v>
      </c>
      <c r="I21" s="248" t="e">
        <f ca="1">INDEX(INDIRECT(CT_APtoSTA!$G$3),1,SUM($H$4:$H21))</f>
        <v>#REF!</v>
      </c>
      <c r="J21" s="134" t="e">
        <f ca="1">MATCH(TRUE,OFFSET(INDIRECT(INDEX(INDIRECT(CT_STAtoWLAN!$B$4),0,MATCH(SelectionTables!$N$4,INDIRECT(CT_STAtoWLAN!$G$3),0))),SUM($J$4:$J20),0,ProductTable!$AB$2-SUM($J$4:$J20)),0)</f>
        <v>#REF!</v>
      </c>
      <c r="K21" s="248" t="str">
        <f ca="1">IF(ISERROR($J21),"",INDEX(INDIRECT(CT_STAtoWLAN!$G$2),SUM($J$4:$J21)))</f>
        <v/>
      </c>
      <c r="L21" s="184" t="b">
        <f t="shared" ca="1" si="3"/>
        <v>0</v>
      </c>
      <c r="M21" s="184" t="e">
        <f ca="1">MATCH(TRUE,OFFSET(INDIRECT($L$3),SUM($M$4:$M20),0),0)</f>
        <v>#N/A</v>
      </c>
      <c r="N21" s="251" t="str">
        <f ca="1">IF(ISERROR(M21),"",INDEX(INDIRECT($I$3),SUM($M$4:$M21)))</f>
        <v/>
      </c>
      <c r="O21" s="184" t="b">
        <f ca="1">IF(N21="",FALSE,IF(ISERROR(MATCH(N21,INDIRECT(ProductTable!$AD$4),0)),FALSE,TRUE))</f>
        <v>0</v>
      </c>
      <c r="P21" s="184" t="e">
        <f ca="1">MATCH(TRUE,OFFSET(INDIRECT($O$3),SUM($P$4:$P20),0),0)</f>
        <v>#N/A</v>
      </c>
      <c r="Q21" s="184" t="str">
        <f ca="1">IF(ISERROR(P21),"",INDEX(INDIRECT($N$3),SUM($P$4:$P21)))</f>
        <v/>
      </c>
      <c r="S21" s="134" t="e">
        <f ca="1">MATCH(TRUE,OFFSET(INDIRECT(INDEX(INDIRECT(CT_STAtoANT!$A$5),MATCH(SelectionTables!$G$4,INDIRECT(CT_STAtoANT!$G$2),0),0)),0,SUM($S$4:$S20),1,ProductTable!$H$2-SUM($S$4:$S20)),0)</f>
        <v>#REF!</v>
      </c>
      <c r="T21" s="184" t="e">
        <f ca="1">INDEX(INDIRECT(CT_STAtoANT!$G$3),1,SUM($S$4:$S21))</f>
        <v>#REF!</v>
      </c>
      <c r="U21" s="184" t="b">
        <f ca="1">IF(ISERROR(MATCH(T21,INDIRECT(ProductTable!$J$4),0)),FALSE,TRUE)</f>
        <v>0</v>
      </c>
      <c r="V21" s="184" t="e">
        <f ca="1">MATCH(TRUE,OFFSET(INDIRECT($U$3),SUM($V$4:$V20),0,ProductTable!$H$2-SUM($V$4:$V20),1),0)</f>
        <v>#REF!</v>
      </c>
      <c r="W21" s="184" t="str">
        <f ca="1">IF(ISERROR($V21),"",INDEX(INDIRECT($T$3),SUM($V$4:$V21)))</f>
        <v/>
      </c>
      <c r="Y21" s="184" t="e">
        <f ca="1">MATCH(TRUE,OFFSET(INDIRECT(INDEX(INDIRECT(CT_APtoC1!$A$5),MATCH(SelectionTables!$H$4,INDIRECT(CT_APtoC1!$G$2),0),0)),0,SUM($Y$4:$Y20),1,ProductTable!$C$2-SUM($Y$4:$Y20)),0)</f>
        <v>#REF!</v>
      </c>
      <c r="Z21" s="251" t="e">
        <f ca="1">INDEX(INDIRECT(CT_APtoC1!$G$3),1,SUM($Y$4:$Y21))</f>
        <v>#REF!</v>
      </c>
      <c r="AA21" s="184" t="e">
        <f ca="1">MATCH(TRUE,OFFSET(INDIRECT(INDEX(INDIRECT(CT_C1toANT!$B$4),0,MATCH(SelectionTables!$J$4,INDIRECT(CT_C1toANT!$G$3),0))),SUM(AA$4:AA20),0,ProductTable!$M$2-SUM(AA$4:AA20)),0)</f>
        <v>#REF!</v>
      </c>
      <c r="AB21" s="251" t="str">
        <f ca="1">IF(ISERROR(AA21),"",INDEX(INDIRECT(CT_C1toANT!$G$2),SUM(AA$4:AA21)))</f>
        <v/>
      </c>
      <c r="AC21" s="184" t="b">
        <f t="shared" ca="1" si="0"/>
        <v>0</v>
      </c>
      <c r="AD21" s="184" t="e">
        <f ca="1">MATCH(TRUE,OFFSET(INDIRECT($AC$3),SUM($AD$4:$AD20),0),0)</f>
        <v>#N/A</v>
      </c>
      <c r="AE21" s="184" t="e">
        <f ca="1">INDEX(INDIRECT($Z$3),SUM($AD$4:$AD21))</f>
        <v>#N/A</v>
      </c>
      <c r="AF21" s="184" t="b">
        <f ca="1">IF(ISERROR(MATCH(AE21,INDIRECT(ProductTable!$O$4),0)),FALSE,TRUE)</f>
        <v>0</v>
      </c>
      <c r="AG21" s="184" t="e">
        <f ca="1">MATCH(TRUE,OFFSET(INDIRECT($AF$3),SUM($AG$4:$AG20),0),0)</f>
        <v>#N/A</v>
      </c>
      <c r="AH21" s="184" t="str">
        <f ca="1">IF(ISERROR(AG21),"",INDEX(INDIRECT($AE$3),SUM($AG$4:$AG21)))</f>
        <v/>
      </c>
      <c r="AJ21" s="184" t="e">
        <f ca="1">MATCH(TRUE,OFFSET(INDIRECT(INDEX(INDIRECT(CT_SAtoC1!$A$5),MATCH(SelectionTables!$K$4,INDIRECT(CT_SAtoC1!$G$2),0),0)),0,SUM($AJ$4:$AJ20),1,ProductTable!$C$2-SUM($AJ$4:$AJ20)),0)</f>
        <v>#REF!</v>
      </c>
      <c r="AK21" s="251" t="e">
        <f ca="1">INDEX(INDIRECT(CT_SAtoC1!$G$3),1,SUM($AJ$4:$AJ21))</f>
        <v>#REF!</v>
      </c>
      <c r="AL21" s="184" t="e">
        <f ca="1">MATCH(TRUE,OFFSET(INDIRECT(INDEX(INDIRECT(CT_C1toANT!$B$4),0,MATCH(SelectionTables!$J$4,INDIRECT(CT_C1toANT!$G$3),0))),SUM(AL$4:AL20),0,ProductTable!$M$2-SUM(AL$4:AL20)),0)</f>
        <v>#REF!</v>
      </c>
      <c r="AM21" s="251" t="str">
        <f ca="1">IF(ISERROR(AL21),"",INDEX(INDIRECT(CT_C1toANT!$G$2),SUM(AL$4:AL21)))</f>
        <v/>
      </c>
      <c r="AN21" s="184" t="b">
        <f t="shared" ca="1" si="1"/>
        <v>0</v>
      </c>
      <c r="AO21" s="184" t="e">
        <f ca="1">MATCH(TRUE,OFFSET(INDIRECT(AN$3),SUM(AO$4:AO20),0),0)</f>
        <v>#N/A</v>
      </c>
      <c r="AP21" s="184" t="e">
        <f ca="1">INDEX(INDIRECT(AK$3),SUM(AO$4:AO21))</f>
        <v>#N/A</v>
      </c>
      <c r="AQ21" s="184" t="b">
        <f ca="1">IF(ISERROR(MATCH(AP21,INDIRECT(ProductTable!$AI$4),0)),FALSE,TRUE)</f>
        <v>0</v>
      </c>
      <c r="AR21" s="184" t="e">
        <f ca="1">MATCH(TRUE,OFFSET(INDIRECT($AQ$3),SUM($AR$4:$AR20),0),0)</f>
        <v>#N/A</v>
      </c>
      <c r="AS21" s="184" t="str">
        <f ca="1">IF(ISERROR(AR21),"",INDEX(INDIRECT(AP$3),SUM(AR$4:AR21)))</f>
        <v/>
      </c>
      <c r="AU21" s="184">
        <f ca="1">IF(OR(EXACT(SelectionTables!$I$4,ProductTable!$L$7),EXACT(SelectionTables!$I$4,"")),"",ProductTable!T24)</f>
        <v>0</v>
      </c>
      <c r="AW21" s="540" t="e">
        <f ca="1">MATCH(TRUE,OFFSET(INDIRECT(INDEX(INDIRECT(CT_STAtoANT!$A$5),MATCH(SelectionTables!$G$4,INDIRECT(CT_STAtoANT!$G$2),0),0)),0,SUM($AW$4:$AW20),1,ProductTable!$H$2-SUM($AW$4:$AW20)),0)</f>
        <v>#REF!</v>
      </c>
      <c r="AX21" s="541" t="e">
        <f ca="1">INDEX(INDIRECT(CT_STAtoANT!$G$3),1,SUM($AW$4:$AW21))</f>
        <v>#REF!</v>
      </c>
      <c r="AY21" s="541" t="b">
        <f ca="1">IF(ISERROR(MATCH(AX21,INDIRECT(ProductTable!$J$4),0)),FALSE,TRUE)</f>
        <v>0</v>
      </c>
      <c r="AZ21" s="541" t="e">
        <f ca="1">MATCH(TRUE,OFFSET(INDIRECT($AY$3),SUM($AZ$4:$AZ20),0,ProductTable!$H$2-SUM($AZ$4:$AZ20),1),0)</f>
        <v>#REF!</v>
      </c>
      <c r="BA21" s="541" t="str">
        <f ca="1">IF(ISERROR($AZ21),"",INDEX(INDIRECT($AX$3),SUM($AZ$4:$AZ21)))</f>
        <v/>
      </c>
      <c r="BB21" s="541" t="e">
        <f ca="1">MATCH(TRUE,OFFSET(INDIRECT(INDEX(INDIRECT(CT_APtoANT!$A$5),MATCH(SelectionTables!$H$4,INDIRECT(CT_APtoANT!$G$2),0),0)),0,SUM($BB$4:$BB20),1,ProductTable!$H$2-SUM($BB$4:$BB20)),0)</f>
        <v>#REF!</v>
      </c>
      <c r="BC21" s="541" t="e">
        <f ca="1">INDEX(INDIRECT(CT_APtoANT!$G$3),1,SUM($BB$4:$BB21))</f>
        <v>#REF!</v>
      </c>
      <c r="BD21" s="541" t="b">
        <f t="shared" ca="1" si="2"/>
        <v>0</v>
      </c>
      <c r="BE21" s="541" t="e">
        <f ca="1">MATCH(TRUE,OFFSET(INDIRECT($BD$3),SUM($BE$4:$BE20),0,ProductTable!$H$2-SUM($BE$4:$BE20),1),0)</f>
        <v>#REF!</v>
      </c>
      <c r="BF21" s="541" t="str">
        <f ca="1">IF(ISERROR($BE21),"",INDEX(INDIRECT($BA$3),SUM($BE$4:$BE21)))</f>
        <v/>
      </c>
      <c r="BH21" s="541">
        <f ca="1">MATCH(TRUE,OFFSET(INDIRECT(INDEX(INDIRECT(CT_APtoC1!$A$5),MATCH(SelectionTables!$H$4,INDIRECT(CT_APtoC1!$G$2),0),0)),0,SUM($BH$4:$BH20),1,ProductTable!$AG$2-SUM($BH$4:$BH20)),0)</f>
        <v>1</v>
      </c>
      <c r="BI21" s="541" t="str">
        <f ca="1">INDEX(INDIRECT(CT_APtoC1!$G$3),1,SUM($BH$4:$BH21))</f>
        <v>Default cable</v>
      </c>
      <c r="BJ21" s="541" t="b">
        <f ca="1">IF(ISERROR(MATCH(BI21,INDIRECT(ProductTable!$AI$4),0)),FALSE,TRUE)</f>
        <v>0</v>
      </c>
      <c r="BK21" s="541" t="e">
        <f ca="1">MATCH(TRUE,OFFSET(INDIRECT($BJ$3),SUM($BK$4:$BK20),0,ProductTable!$AG$2-SUM($BK$4:$BK20),1),0)</f>
        <v>#N/A</v>
      </c>
      <c r="BL21" s="541" t="str">
        <f ca="1">IF(ISERROR($BK21),"",INDEX(INDIRECT($BI$3),SUM($BK$4:$BK21)))</f>
        <v/>
      </c>
    </row>
    <row r="22" spans="2:64" x14ac:dyDescent="0.25">
      <c r="B22" s="134" t="e">
        <f ca="1">MATCH(TRUE,OFFSET(INDIRECT(INDEX(INDIRECT(CT_APtoWLAN!$A$5),MATCH(SelectionTables!$H$4,INDIRECT(CT_APtoWLAN!$G$2),0),0)),0,SUM($B$4:$B21),1,ProductTable!$W$2-SUM($B$4:$B21)),0)</f>
        <v>#N/A</v>
      </c>
      <c r="C22" s="134" t="e">
        <f ca="1">INDEX(INDIRECT(CT_APtoWLAN!$G$3),1,SUM($B$4:$B22))</f>
        <v>#N/A</v>
      </c>
      <c r="D22" s="134" t="b">
        <f ca="1">IF(ISERROR(MATCH(C22,INDIRECT(ProductTable!$Y$4),0)),FALSE,TRUE)</f>
        <v>0</v>
      </c>
      <c r="E22" s="134" t="e">
        <f ca="1">MATCH(TRUE,OFFSET(INDIRECT($D$3),SUM($E$4:$E21),0,ProductTable!$W$2-SUM($E$4:$E21),1),0)</f>
        <v>#N/A</v>
      </c>
      <c r="F22" s="184" t="str">
        <f ca="1">IF(ISERROR($E22),"",INDEX(INDIRECT($C$3),SUM($E$4:$E22)))</f>
        <v/>
      </c>
      <c r="H22" s="134" t="e">
        <f ca="1">MATCH(TRUE,OFFSET(INDIRECT(INDEX(INDIRECT(CT_APtoSTA!$A$5),MATCH(SelectionTables!$H$4,INDIRECT(CT_APtoSTA!$G$2),0),0)),0,SUM($H$4:$H21),1,ProductTable!$AB$2-SUM($H$4:$H21)),0)</f>
        <v>#REF!</v>
      </c>
      <c r="I22" s="248" t="e">
        <f ca="1">INDEX(INDIRECT(CT_APtoSTA!$G$3),1,SUM($H$4:$H22))</f>
        <v>#REF!</v>
      </c>
      <c r="J22" s="134" t="e">
        <f ca="1">MATCH(TRUE,OFFSET(INDIRECT(INDEX(INDIRECT(CT_STAtoWLAN!$B$4),0,MATCH(SelectionTables!$N$4,INDIRECT(CT_STAtoWLAN!$G$3),0))),SUM($J$4:$J21),0,ProductTable!$AB$2-SUM($J$4:$J21)),0)</f>
        <v>#REF!</v>
      </c>
      <c r="K22" s="248" t="str">
        <f ca="1">IF(ISERROR($J22),"",INDEX(INDIRECT(CT_STAtoWLAN!$G$2),SUM($J$4:$J22)))</f>
        <v/>
      </c>
      <c r="L22" s="184" t="b">
        <f t="shared" ca="1" si="3"/>
        <v>0</v>
      </c>
      <c r="M22" s="184" t="e">
        <f ca="1">MATCH(TRUE,OFFSET(INDIRECT($L$3),SUM($M$4:$M21),0),0)</f>
        <v>#N/A</v>
      </c>
      <c r="N22" s="251" t="str">
        <f ca="1">IF(ISERROR(M22),"",INDEX(INDIRECT($I$3),SUM($M$4:$M22)))</f>
        <v/>
      </c>
      <c r="O22" s="184" t="b">
        <f ca="1">IF(N22="",FALSE,IF(ISERROR(MATCH(N22,INDIRECT(ProductTable!$AD$4),0)),FALSE,TRUE))</f>
        <v>0</v>
      </c>
      <c r="P22" s="184" t="e">
        <f ca="1">MATCH(TRUE,OFFSET(INDIRECT($O$3),SUM($P$4:$P21),0),0)</f>
        <v>#N/A</v>
      </c>
      <c r="Q22" s="184" t="str">
        <f ca="1">IF(ISERROR(P22),"",INDEX(INDIRECT($N$3),SUM($P$4:$P22)))</f>
        <v/>
      </c>
      <c r="S22" s="134" t="e">
        <f ca="1">MATCH(TRUE,OFFSET(INDIRECT(INDEX(INDIRECT(CT_STAtoANT!$A$5),MATCH(SelectionTables!$G$4,INDIRECT(CT_STAtoANT!$G$2),0),0)),0,SUM($S$4:$S21),1,ProductTable!$H$2-SUM($S$4:$S21)),0)</f>
        <v>#REF!</v>
      </c>
      <c r="T22" s="184" t="e">
        <f ca="1">INDEX(INDIRECT(CT_STAtoANT!$G$3),1,SUM($S$4:$S22))</f>
        <v>#REF!</v>
      </c>
      <c r="U22" s="184" t="b">
        <f ca="1">IF(ISERROR(MATCH(T22,INDIRECT(ProductTable!$J$4),0)),FALSE,TRUE)</f>
        <v>0</v>
      </c>
      <c r="V22" s="184" t="e">
        <f ca="1">MATCH(TRUE,OFFSET(INDIRECT($U$3),SUM($V$4:$V21),0,ProductTable!$H$2-SUM($V$4:$V21),1),0)</f>
        <v>#REF!</v>
      </c>
      <c r="W22" s="184" t="str">
        <f ca="1">IF(ISERROR($V22),"",INDEX(INDIRECT($T$3),SUM($V$4:$V22)))</f>
        <v/>
      </c>
      <c r="Y22" s="184" t="e">
        <f ca="1">MATCH(TRUE,OFFSET(INDIRECT(INDEX(INDIRECT(CT_APtoC1!$A$5),MATCH(SelectionTables!$H$4,INDIRECT(CT_APtoC1!$G$2),0),0)),0,SUM($Y$4:$Y21),1,ProductTable!$C$2-SUM($Y$4:$Y21)),0)</f>
        <v>#REF!</v>
      </c>
      <c r="Z22" s="251" t="e">
        <f ca="1">INDEX(INDIRECT(CT_APtoC1!$G$3),1,SUM($Y$4:$Y22))</f>
        <v>#REF!</v>
      </c>
      <c r="AA22" s="184" t="e">
        <f ca="1">MATCH(TRUE,OFFSET(INDIRECT(INDEX(INDIRECT(CT_C1toANT!$B$4),0,MATCH(SelectionTables!$J$4,INDIRECT(CT_C1toANT!$G$3),0))),SUM(AA$4:AA21),0,ProductTable!$M$2-SUM(AA$4:AA21)),0)</f>
        <v>#REF!</v>
      </c>
      <c r="AB22" s="251" t="str">
        <f ca="1">IF(ISERROR(AA22),"",INDEX(INDIRECT(CT_C1toANT!$G$2),SUM(AA$4:AA22)))</f>
        <v/>
      </c>
      <c r="AC22" s="184" t="b">
        <f t="shared" ca="1" si="0"/>
        <v>0</v>
      </c>
      <c r="AD22" s="184" t="e">
        <f ca="1">MATCH(TRUE,OFFSET(INDIRECT($AC$3),SUM($AD$4:$AD21),0),0)</f>
        <v>#N/A</v>
      </c>
      <c r="AE22" s="184" t="e">
        <f ca="1">INDEX(INDIRECT($Z$3),SUM($AD$4:$AD22))</f>
        <v>#N/A</v>
      </c>
      <c r="AF22" s="184" t="b">
        <f ca="1">IF(ISERROR(MATCH(AE22,INDIRECT(ProductTable!$O$4),0)),FALSE,TRUE)</f>
        <v>0</v>
      </c>
      <c r="AG22" s="184" t="e">
        <f ca="1">MATCH(TRUE,OFFSET(INDIRECT($AF$3),SUM($AG$4:$AG21),0),0)</f>
        <v>#N/A</v>
      </c>
      <c r="AH22" s="184" t="str">
        <f ca="1">IF(ISERROR(AG22),"",INDEX(INDIRECT($AE$3),SUM($AG$4:$AG22)))</f>
        <v/>
      </c>
      <c r="AJ22" s="184" t="e">
        <f ca="1">MATCH(TRUE,OFFSET(INDIRECT(INDEX(INDIRECT(CT_SAtoC1!$A$5),MATCH(SelectionTables!$K$4,INDIRECT(CT_SAtoC1!$G$2),0),0)),0,SUM($AJ$4:$AJ21),1,ProductTable!$C$2-SUM($AJ$4:$AJ21)),0)</f>
        <v>#REF!</v>
      </c>
      <c r="AK22" s="251" t="e">
        <f ca="1">INDEX(INDIRECT(CT_SAtoC1!$G$3),1,SUM($AJ$4:$AJ22))</f>
        <v>#REF!</v>
      </c>
      <c r="AL22" s="184" t="e">
        <f ca="1">MATCH(TRUE,OFFSET(INDIRECT(INDEX(INDIRECT(CT_C1toANT!$B$4),0,MATCH(SelectionTables!$J$4,INDIRECT(CT_C1toANT!$G$3),0))),SUM(AL$4:AL21),0,ProductTable!$M$2-SUM(AL$4:AL21)),0)</f>
        <v>#REF!</v>
      </c>
      <c r="AM22" s="251" t="str">
        <f ca="1">IF(ISERROR(AL22),"",INDEX(INDIRECT(CT_C1toANT!$G$2),SUM(AL$4:AL22)))</f>
        <v/>
      </c>
      <c r="AN22" s="184" t="b">
        <f t="shared" ca="1" si="1"/>
        <v>0</v>
      </c>
      <c r="AO22" s="184" t="e">
        <f ca="1">MATCH(TRUE,OFFSET(INDIRECT(AN$3),SUM(AO$4:AO21),0),0)</f>
        <v>#N/A</v>
      </c>
      <c r="AP22" s="184" t="e">
        <f ca="1">INDEX(INDIRECT(AK$3),SUM(AO$4:AO22))</f>
        <v>#N/A</v>
      </c>
      <c r="AQ22" s="184" t="b">
        <f ca="1">IF(ISERROR(MATCH(AP22,INDIRECT(ProductTable!$AI$4),0)),FALSE,TRUE)</f>
        <v>0</v>
      </c>
      <c r="AR22" s="184" t="e">
        <f ca="1">MATCH(TRUE,OFFSET(INDIRECT($AQ$3),SUM($AR$4:$AR21),0),0)</f>
        <v>#N/A</v>
      </c>
      <c r="AS22" s="184" t="str">
        <f ca="1">IF(ISERROR(AR22),"",INDEX(INDIRECT(AP$3),SUM(AR$4:AR22)))</f>
        <v/>
      </c>
      <c r="AU22" s="184">
        <f ca="1">IF(OR(EXACT(SelectionTables!$I$4,ProductTable!$L$7),EXACT(SelectionTables!$I$4,"")),"",ProductTable!T25)</f>
        <v>0</v>
      </c>
      <c r="AW22" s="540" t="e">
        <f ca="1">MATCH(TRUE,OFFSET(INDIRECT(INDEX(INDIRECT(CT_STAtoANT!$A$5),MATCH(SelectionTables!$G$4,INDIRECT(CT_STAtoANT!$G$2),0),0)),0,SUM($AW$4:$AW21),1,ProductTable!$H$2-SUM($AW$4:$AW21)),0)</f>
        <v>#REF!</v>
      </c>
      <c r="AX22" s="541" t="e">
        <f ca="1">INDEX(INDIRECT(CT_STAtoANT!$G$3),1,SUM($AW$4:$AW22))</f>
        <v>#REF!</v>
      </c>
      <c r="AY22" s="541" t="b">
        <f ca="1">IF(ISERROR(MATCH(AX22,INDIRECT(ProductTable!$J$4),0)),FALSE,TRUE)</f>
        <v>0</v>
      </c>
      <c r="AZ22" s="541" t="e">
        <f ca="1">MATCH(TRUE,OFFSET(INDIRECT($AY$3),SUM($AZ$4:$AZ21),0,ProductTable!$H$2-SUM($AZ$4:$AZ21),1),0)</f>
        <v>#REF!</v>
      </c>
      <c r="BA22" s="541" t="str">
        <f ca="1">IF(ISERROR($AZ22),"",INDEX(INDIRECT($AX$3),SUM($AZ$4:$AZ22)))</f>
        <v/>
      </c>
      <c r="BB22" s="541" t="e">
        <f ca="1">MATCH(TRUE,OFFSET(INDIRECT(INDEX(INDIRECT(CT_APtoANT!$A$5),MATCH(SelectionTables!$H$4,INDIRECT(CT_APtoANT!$G$2),0),0)),0,SUM($BB$4:$BB21),1,ProductTable!$H$2-SUM($BB$4:$BB21)),0)</f>
        <v>#REF!</v>
      </c>
      <c r="BC22" s="541" t="e">
        <f ca="1">INDEX(INDIRECT(CT_APtoANT!$G$3),1,SUM($BB$4:$BB22))</f>
        <v>#REF!</v>
      </c>
      <c r="BD22" s="541" t="b">
        <f t="shared" ca="1" si="2"/>
        <v>0</v>
      </c>
      <c r="BE22" s="541" t="e">
        <f ca="1">MATCH(TRUE,OFFSET(INDIRECT($BD$3),SUM($BE$4:$BE21),0,ProductTable!$H$2-SUM($BE$4:$BE21),1),0)</f>
        <v>#REF!</v>
      </c>
      <c r="BF22" s="541" t="str">
        <f ca="1">IF(ISERROR($BE22),"",INDEX(INDIRECT($BA$3),SUM($BE$4:$BE22)))</f>
        <v/>
      </c>
      <c r="BH22" s="541" t="e">
        <f ca="1">MATCH(TRUE,OFFSET(INDIRECT(INDEX(INDIRECT(CT_APtoC1!$A$5),MATCH(SelectionTables!$H$4,INDIRECT(CT_APtoC1!$G$2),0),0)),0,SUM($BH$4:$BH21),1,ProductTable!$AG$2-SUM($BH$4:$BH21)),0)</f>
        <v>#REF!</v>
      </c>
      <c r="BI22" s="541" t="e">
        <f ca="1">INDEX(INDIRECT(CT_APtoC1!$G$3),1,SUM($BH$4:$BH22))</f>
        <v>#REF!</v>
      </c>
      <c r="BJ22" s="541" t="b">
        <f ca="1">IF(ISERROR(MATCH(BI22,INDIRECT(ProductTable!$AI$4),0)),FALSE,TRUE)</f>
        <v>0</v>
      </c>
      <c r="BK22" s="541" t="e">
        <f ca="1">MATCH(TRUE,OFFSET(INDIRECT($BJ$3),SUM($BK$4:$BK21),0,ProductTable!$AG$2-SUM($BK$4:$BK21),1),0)</f>
        <v>#N/A</v>
      </c>
      <c r="BL22" s="541" t="str">
        <f ca="1">IF(ISERROR($BK22),"",INDEX(INDIRECT($BI$3),SUM($BK$4:$BK22)))</f>
        <v/>
      </c>
    </row>
    <row r="23" spans="2:64" x14ac:dyDescent="0.25">
      <c r="B23" s="134" t="e">
        <f ca="1">MATCH(TRUE,OFFSET(INDIRECT(INDEX(INDIRECT(CT_APtoWLAN!$A$5),MATCH(SelectionTables!$H$4,INDIRECT(CT_APtoWLAN!$G$2),0),0)),0,SUM($B$4:$B22),1,ProductTable!$W$2-SUM($B$4:$B22)),0)</f>
        <v>#N/A</v>
      </c>
      <c r="C23" s="134" t="e">
        <f ca="1">INDEX(INDIRECT(CT_APtoWLAN!$G$3),1,SUM($B$4:$B23))</f>
        <v>#N/A</v>
      </c>
      <c r="D23" s="134" t="b">
        <f ca="1">IF(ISERROR(MATCH(C23,INDIRECT(ProductTable!$Y$4),0)),FALSE,TRUE)</f>
        <v>0</v>
      </c>
      <c r="E23" s="134" t="e">
        <f ca="1">MATCH(TRUE,OFFSET(INDIRECT($D$3),SUM($E$4:$E22),0,ProductTable!$W$2-SUM($E$4:$E22),1),0)</f>
        <v>#N/A</v>
      </c>
      <c r="F23" s="184" t="str">
        <f ca="1">IF(ISERROR($E23),"",INDEX(INDIRECT($C$3),SUM($E$4:$E23)))</f>
        <v/>
      </c>
      <c r="H23" s="134" t="e">
        <f ca="1">MATCH(TRUE,OFFSET(INDIRECT(INDEX(INDIRECT(CT_APtoSTA!$A$5),MATCH(SelectionTables!$H$4,INDIRECT(CT_APtoSTA!$G$2),0),0)),0,SUM($H$4:$H22),1,ProductTable!$AB$2-SUM($H$4:$H22)),0)</f>
        <v>#REF!</v>
      </c>
      <c r="I23" s="248" t="e">
        <f ca="1">INDEX(INDIRECT(CT_APtoSTA!$G$3),1,SUM($H$4:$H23))</f>
        <v>#REF!</v>
      </c>
      <c r="J23" s="134" t="e">
        <f ca="1">MATCH(TRUE,OFFSET(INDIRECT(INDEX(INDIRECT(CT_STAtoWLAN!$B$4),0,MATCH(SelectionTables!$N$4,INDIRECT(CT_STAtoWLAN!$G$3),0))),SUM($J$4:$J22),0,ProductTable!$AB$2-SUM($J$4:$J22)),0)</f>
        <v>#REF!</v>
      </c>
      <c r="K23" s="248" t="str">
        <f ca="1">IF(ISERROR($J23),"",INDEX(INDIRECT(CT_STAtoWLAN!$G$2),SUM($J$4:$J23)))</f>
        <v/>
      </c>
      <c r="L23" s="184" t="b">
        <f t="shared" ca="1" si="3"/>
        <v>0</v>
      </c>
      <c r="M23" s="184" t="e">
        <f ca="1">MATCH(TRUE,OFFSET(INDIRECT($L$3),SUM($M$4:$M22),0),0)</f>
        <v>#N/A</v>
      </c>
      <c r="N23" s="251" t="str">
        <f ca="1">IF(ISERROR(M23),"",INDEX(INDIRECT($I$3),SUM($M$4:$M23)))</f>
        <v/>
      </c>
      <c r="O23" s="184" t="b">
        <f ca="1">IF(N23="",FALSE,IF(ISERROR(MATCH(N23,INDIRECT(ProductTable!$AD$4),0)),FALSE,TRUE))</f>
        <v>0</v>
      </c>
      <c r="P23" s="184" t="e">
        <f ca="1">MATCH(TRUE,OFFSET(INDIRECT($O$3),SUM($P$4:$P22),0),0)</f>
        <v>#N/A</v>
      </c>
      <c r="Q23" s="184" t="str">
        <f ca="1">IF(ISERROR(P23),"",INDEX(INDIRECT($N$3),SUM($P$4:$P23)))</f>
        <v/>
      </c>
      <c r="S23" s="134" t="e">
        <f ca="1">MATCH(TRUE,OFFSET(INDIRECT(INDEX(INDIRECT(CT_STAtoANT!$A$5),MATCH(SelectionTables!$G$4,INDIRECT(CT_STAtoANT!$G$2),0),0)),0,SUM($S$4:$S22),1,ProductTable!$H$2-SUM($S$4:$S22)),0)</f>
        <v>#REF!</v>
      </c>
      <c r="T23" s="184" t="e">
        <f ca="1">INDEX(INDIRECT(CT_STAtoANT!$G$3),1,SUM($S$4:$S23))</f>
        <v>#REF!</v>
      </c>
      <c r="U23" s="184" t="b">
        <f ca="1">IF(ISERROR(MATCH(T23,INDIRECT(ProductTable!$J$4),0)),FALSE,TRUE)</f>
        <v>0</v>
      </c>
      <c r="V23" s="184" t="e">
        <f ca="1">MATCH(TRUE,OFFSET(INDIRECT($U$3),SUM($V$4:$V22),0,ProductTable!$H$2-SUM($V$4:$V22),1),0)</f>
        <v>#REF!</v>
      </c>
      <c r="W23" s="184" t="str">
        <f ca="1">IF(ISERROR($V23),"",INDEX(INDIRECT($T$3),SUM($V$4:$V23)))</f>
        <v/>
      </c>
      <c r="Y23" s="184" t="e">
        <f ca="1">MATCH(TRUE,OFFSET(INDIRECT(INDEX(INDIRECT(CT_APtoC1!$A$5),MATCH(SelectionTables!$H$4,INDIRECT(CT_APtoC1!$G$2),0),0)),0,SUM($Y$4:$Y22),1,ProductTable!$C$2-SUM($Y$4:$Y22)),0)</f>
        <v>#REF!</v>
      </c>
      <c r="Z23" s="251" t="e">
        <f ca="1">INDEX(INDIRECT(CT_APtoC1!$G$3),1,SUM($Y$4:$Y23))</f>
        <v>#REF!</v>
      </c>
      <c r="AA23" s="184" t="e">
        <f ca="1">MATCH(TRUE,OFFSET(INDIRECT(INDEX(INDIRECT(CT_C1toANT!$B$4),0,MATCH(SelectionTables!$J$4,INDIRECT(CT_C1toANT!$G$3),0))),SUM(AA$4:AA22),0,ProductTable!$M$2-SUM(AA$4:AA22)),0)</f>
        <v>#REF!</v>
      </c>
      <c r="AB23" s="251" t="str">
        <f ca="1">IF(ISERROR(AA23),"",INDEX(INDIRECT(CT_C1toANT!$G$2),SUM(AA$4:AA23)))</f>
        <v/>
      </c>
      <c r="AC23" s="184" t="b">
        <f t="shared" ca="1" si="0"/>
        <v>0</v>
      </c>
      <c r="AD23" s="184" t="e">
        <f ca="1">MATCH(TRUE,OFFSET(INDIRECT($AC$3),SUM($AD$4:$AD22),0),0)</f>
        <v>#N/A</v>
      </c>
      <c r="AE23" s="184" t="e">
        <f ca="1">INDEX(INDIRECT($Z$3),SUM($AD$4:$AD23))</f>
        <v>#N/A</v>
      </c>
      <c r="AF23" s="184" t="b">
        <f ca="1">IF(ISERROR(MATCH(AE23,INDIRECT(ProductTable!$O$4),0)),FALSE,TRUE)</f>
        <v>0</v>
      </c>
      <c r="AG23" s="184" t="e">
        <f ca="1">MATCH(TRUE,OFFSET(INDIRECT($AF$3),SUM($AG$4:$AG22),0),0)</f>
        <v>#N/A</v>
      </c>
      <c r="AH23" s="184" t="str">
        <f ca="1">IF(ISERROR(AG23),"",INDEX(INDIRECT($AE$3),SUM($AG$4:$AG23)))</f>
        <v/>
      </c>
      <c r="AJ23" s="184" t="e">
        <f ca="1">MATCH(TRUE,OFFSET(INDIRECT(INDEX(INDIRECT(CT_SAtoC1!$A$5),MATCH(SelectionTables!$K$4,INDIRECT(CT_SAtoC1!$G$2),0),0)),0,SUM($AJ$4:$AJ22),1,ProductTable!$C$2-SUM($AJ$4:$AJ22)),0)</f>
        <v>#REF!</v>
      </c>
      <c r="AK23" s="251" t="e">
        <f ca="1">INDEX(INDIRECT(CT_SAtoC1!$G$3),1,SUM($AJ$4:$AJ23))</f>
        <v>#REF!</v>
      </c>
      <c r="AL23" s="184" t="e">
        <f ca="1">MATCH(TRUE,OFFSET(INDIRECT(INDEX(INDIRECT(CT_C1toANT!$B$4),0,MATCH(SelectionTables!$J$4,INDIRECT(CT_C1toANT!$G$3),0))),SUM(AL$4:AL22),0,ProductTable!$M$2-SUM(AL$4:AL22)),0)</f>
        <v>#REF!</v>
      </c>
      <c r="AM23" s="251" t="str">
        <f ca="1">IF(ISERROR(AL23),"",INDEX(INDIRECT(CT_C1toANT!$G$2),SUM(AL$4:AL23)))</f>
        <v/>
      </c>
      <c r="AN23" s="184" t="b">
        <f t="shared" ca="1" si="1"/>
        <v>0</v>
      </c>
      <c r="AO23" s="184" t="e">
        <f ca="1">MATCH(TRUE,OFFSET(INDIRECT(AN$3),SUM(AO$4:AO22),0),0)</f>
        <v>#N/A</v>
      </c>
      <c r="AP23" s="184" t="e">
        <f ca="1">INDEX(INDIRECT(AK$3),SUM(AO$4:AO23))</f>
        <v>#N/A</v>
      </c>
      <c r="AQ23" s="184" t="b">
        <f ca="1">IF(ISERROR(MATCH(AP23,INDIRECT(ProductTable!$AI$4),0)),FALSE,TRUE)</f>
        <v>0</v>
      </c>
      <c r="AR23" s="184" t="e">
        <f ca="1">MATCH(TRUE,OFFSET(INDIRECT($AQ$3),SUM($AR$4:$AR22),0),0)</f>
        <v>#N/A</v>
      </c>
      <c r="AS23" s="184" t="str">
        <f ca="1">IF(ISERROR(AR23),"",INDEX(INDIRECT(AP$3),SUM(AR$4:AR23)))</f>
        <v/>
      </c>
      <c r="AU23" s="184">
        <f ca="1">IF(OR(EXACT(SelectionTables!$I$4,ProductTable!$L$7),EXACT(SelectionTables!$I$4,"")),"",ProductTable!T26)</f>
        <v>0</v>
      </c>
      <c r="AW23" s="540" t="e">
        <f ca="1">MATCH(TRUE,OFFSET(INDIRECT(INDEX(INDIRECT(CT_STAtoANT!$A$5),MATCH(SelectionTables!$G$4,INDIRECT(CT_STAtoANT!$G$2),0),0)),0,SUM($AW$4:$AW22),1,ProductTable!$H$2-SUM($AW$4:$AW22)),0)</f>
        <v>#REF!</v>
      </c>
      <c r="AX23" s="541" t="e">
        <f ca="1">INDEX(INDIRECT(CT_STAtoANT!$G$3),1,SUM($AW$4:$AW23))</f>
        <v>#REF!</v>
      </c>
      <c r="AY23" s="541" t="b">
        <f ca="1">IF(ISERROR(MATCH(AX23,INDIRECT(ProductTable!$J$4),0)),FALSE,TRUE)</f>
        <v>0</v>
      </c>
      <c r="AZ23" s="541" t="e">
        <f ca="1">MATCH(TRUE,OFFSET(INDIRECT($AY$3),SUM($AZ$4:$AZ22),0,ProductTable!$H$2-SUM($AZ$4:$AZ22),1),0)</f>
        <v>#REF!</v>
      </c>
      <c r="BA23" s="541" t="str">
        <f ca="1">IF(ISERROR($AZ23),"",INDEX(INDIRECT($AX$3),SUM($AZ$4:$AZ23)))</f>
        <v/>
      </c>
      <c r="BB23" s="541" t="e">
        <f ca="1">MATCH(TRUE,OFFSET(INDIRECT(INDEX(INDIRECT(CT_APtoANT!$A$5),MATCH(SelectionTables!$H$4,INDIRECT(CT_APtoANT!$G$2),0),0)),0,SUM($BB$4:$BB22),1,ProductTable!$H$2-SUM($BB$4:$BB22)),0)</f>
        <v>#REF!</v>
      </c>
      <c r="BC23" s="541" t="e">
        <f ca="1">INDEX(INDIRECT(CT_APtoANT!$G$3),1,SUM($BB$4:$BB23))</f>
        <v>#REF!</v>
      </c>
      <c r="BD23" s="541" t="b">
        <f t="shared" ca="1" si="2"/>
        <v>0</v>
      </c>
      <c r="BE23" s="541" t="e">
        <f ca="1">MATCH(TRUE,OFFSET(INDIRECT($BD$3),SUM($BE$4:$BE22),0,ProductTable!$H$2-SUM($BE$4:$BE22),1),0)</f>
        <v>#REF!</v>
      </c>
      <c r="BF23" s="541" t="str">
        <f ca="1">IF(ISERROR($BE23),"",INDEX(INDIRECT($BA$3),SUM($BE$4:$BE23)))</f>
        <v/>
      </c>
      <c r="BH23" s="541" t="e">
        <f ca="1">MATCH(TRUE,OFFSET(INDIRECT(INDEX(INDIRECT(CT_APtoC1!$A$5),MATCH(SelectionTables!$H$4,INDIRECT(CT_APtoC1!$G$2),0),0)),0,SUM($BH$4:$BH22),1,ProductTable!$AG$2-SUM($BH$4:$BH22)),0)</f>
        <v>#REF!</v>
      </c>
      <c r="BI23" s="541" t="e">
        <f ca="1">INDEX(INDIRECT(CT_APtoC1!$G$3),1,SUM($BH$4:$BH23))</f>
        <v>#REF!</v>
      </c>
      <c r="BJ23" s="541" t="b">
        <f ca="1">IF(ISERROR(MATCH(BI23,INDIRECT(ProductTable!$AI$4),0)),FALSE,TRUE)</f>
        <v>0</v>
      </c>
      <c r="BK23" s="541" t="e">
        <f ca="1">MATCH(TRUE,OFFSET(INDIRECT($BJ$3),SUM($BK$4:$BK22),0,ProductTable!$AG$2-SUM($BK$4:$BK22),1),0)</f>
        <v>#N/A</v>
      </c>
      <c r="BL23" s="541" t="str">
        <f ca="1">IF(ISERROR($BK23),"",INDEX(INDIRECT($BI$3),SUM($BK$4:$BK23)))</f>
        <v/>
      </c>
    </row>
    <row r="24" spans="2:64" x14ac:dyDescent="0.25">
      <c r="B24" s="134" t="e">
        <f ca="1">MATCH(TRUE,OFFSET(INDIRECT(INDEX(INDIRECT(CT_APtoWLAN!$A$5),MATCH(SelectionTables!$H$4,INDIRECT(CT_APtoWLAN!$G$2),0),0)),0,SUM($B$4:$B23),1,ProductTable!$W$2-SUM($B$4:$B23)),0)</f>
        <v>#N/A</v>
      </c>
      <c r="C24" s="134" t="e">
        <f ca="1">INDEX(INDIRECT(CT_APtoWLAN!$G$3),1,SUM($B$4:$B24))</f>
        <v>#N/A</v>
      </c>
      <c r="D24" s="134" t="b">
        <f ca="1">IF(ISERROR(MATCH(C24,INDIRECT(ProductTable!$Y$4),0)),FALSE,TRUE)</f>
        <v>0</v>
      </c>
      <c r="E24" s="134" t="e">
        <f ca="1">MATCH(TRUE,OFFSET(INDIRECT($D$3),SUM($E$4:$E23),0,ProductTable!$W$2-SUM($E$4:$E23),1),0)</f>
        <v>#N/A</v>
      </c>
      <c r="F24" s="184" t="str">
        <f ca="1">IF(ISERROR($E24),"",INDEX(INDIRECT($C$3),SUM($E$4:$E24)))</f>
        <v/>
      </c>
      <c r="H24" s="134" t="e">
        <f ca="1">MATCH(TRUE,OFFSET(INDIRECT(INDEX(INDIRECT(CT_APtoSTA!$A$5),MATCH(SelectionTables!$H$4,INDIRECT(CT_APtoSTA!$G$2),0),0)),0,SUM($H$4:$H23),1,ProductTable!$AB$2-SUM($H$4:$H23)),0)</f>
        <v>#REF!</v>
      </c>
      <c r="I24" s="248" t="e">
        <f ca="1">INDEX(INDIRECT(CT_APtoSTA!$G$3),1,SUM($H$4:$H24))</f>
        <v>#REF!</v>
      </c>
      <c r="J24" s="134" t="e">
        <f ca="1">MATCH(TRUE,OFFSET(INDIRECT(INDEX(INDIRECT(CT_STAtoWLAN!$B$4),0,MATCH(SelectionTables!$N$4,INDIRECT(CT_STAtoWLAN!$G$3),0))),SUM($J$4:$J23),0,ProductTable!$AB$2-SUM($J$4:$J23)),0)</f>
        <v>#REF!</v>
      </c>
      <c r="K24" s="248" t="str">
        <f ca="1">IF(ISERROR($J24),"",INDEX(INDIRECT(CT_STAtoWLAN!$G$2),SUM($J$4:$J24)))</f>
        <v/>
      </c>
      <c r="L24" s="184" t="b">
        <f t="shared" ca="1" si="3"/>
        <v>0</v>
      </c>
      <c r="M24" s="184" t="e">
        <f ca="1">MATCH(TRUE,OFFSET(INDIRECT($L$3),SUM($M$4:$M23),0),0)</f>
        <v>#N/A</v>
      </c>
      <c r="N24" s="251" t="str">
        <f ca="1">IF(ISERROR(M24),"",INDEX(INDIRECT($I$3),SUM($M$4:$M24)))</f>
        <v/>
      </c>
      <c r="O24" s="184" t="b">
        <f ca="1">IF(N24="",FALSE,IF(ISERROR(MATCH(N24,INDIRECT(ProductTable!$AD$4),0)),FALSE,TRUE))</f>
        <v>0</v>
      </c>
      <c r="P24" s="184" t="e">
        <f ca="1">MATCH(TRUE,OFFSET(INDIRECT($O$3),SUM($P$4:$P23),0),0)</f>
        <v>#N/A</v>
      </c>
      <c r="Q24" s="184" t="str">
        <f ca="1">IF(ISERROR(P24),"",INDEX(INDIRECT($N$3),SUM($P$4:$P24)))</f>
        <v/>
      </c>
      <c r="S24" s="134" t="e">
        <f ca="1">MATCH(TRUE,OFFSET(INDIRECT(INDEX(INDIRECT(CT_STAtoANT!$A$5),MATCH(SelectionTables!$G$4,INDIRECT(CT_STAtoANT!$G$2),0),0)),0,SUM($S$4:$S23),1,ProductTable!$H$2-SUM($S$4:$S23)),0)</f>
        <v>#REF!</v>
      </c>
      <c r="T24" s="184" t="e">
        <f ca="1">INDEX(INDIRECT(CT_STAtoANT!$G$3),1,SUM($S$4:$S24))</f>
        <v>#REF!</v>
      </c>
      <c r="U24" s="184" t="b">
        <f ca="1">IF(ISERROR(MATCH(T24,INDIRECT(ProductTable!$J$4),0)),FALSE,TRUE)</f>
        <v>0</v>
      </c>
      <c r="V24" s="184" t="e">
        <f ca="1">MATCH(TRUE,OFFSET(INDIRECT($U$3),SUM($V$4:$V23),0,ProductTable!$H$2-SUM($V$4:$V23),1),0)</f>
        <v>#REF!</v>
      </c>
      <c r="W24" s="184" t="str">
        <f ca="1">IF(ISERROR($V24),"",INDEX(INDIRECT($T$3),SUM($V$4:$V24)))</f>
        <v/>
      </c>
      <c r="Y24" s="184" t="e">
        <f ca="1">MATCH(TRUE,OFFSET(INDIRECT(INDEX(INDIRECT(CT_APtoC1!$A$5),MATCH(SelectionTables!$H$4,INDIRECT(CT_APtoC1!$G$2),0),0)),0,SUM($Y$4:$Y23),1,ProductTable!$C$2-SUM($Y$4:$Y23)),0)</f>
        <v>#REF!</v>
      </c>
      <c r="Z24" s="251" t="e">
        <f ca="1">INDEX(INDIRECT(CT_APtoC1!$G$3),1,SUM($Y$4:$Y24))</f>
        <v>#REF!</v>
      </c>
      <c r="AA24" s="184" t="e">
        <f ca="1">MATCH(TRUE,OFFSET(INDIRECT(INDEX(INDIRECT(CT_C1toANT!$B$4),0,MATCH(SelectionTables!$J$4,INDIRECT(CT_C1toANT!$G$3),0))),SUM(AA$4:AA23),0,ProductTable!$M$2-SUM(AA$4:AA23)),0)</f>
        <v>#REF!</v>
      </c>
      <c r="AB24" s="251" t="str">
        <f ca="1">IF(ISERROR(AA24),"",INDEX(INDIRECT(CT_C1toANT!$G$2),SUM(AA$4:AA24)))</f>
        <v/>
      </c>
      <c r="AC24" s="184" t="b">
        <f t="shared" ca="1" si="0"/>
        <v>0</v>
      </c>
      <c r="AD24" s="184" t="e">
        <f ca="1">MATCH(TRUE,OFFSET(INDIRECT($AC$3),SUM($AD$4:$AD23),0),0)</f>
        <v>#N/A</v>
      </c>
      <c r="AE24" s="184" t="e">
        <f ca="1">INDEX(INDIRECT($Z$3),SUM($AD$4:$AD24))</f>
        <v>#N/A</v>
      </c>
      <c r="AF24" s="184" t="b">
        <f ca="1">IF(ISERROR(MATCH(AE24,INDIRECT(ProductTable!$O$4),0)),FALSE,TRUE)</f>
        <v>0</v>
      </c>
      <c r="AG24" s="184" t="e">
        <f ca="1">MATCH(TRUE,OFFSET(INDIRECT($AF$3),SUM($AG$4:$AG23),0),0)</f>
        <v>#N/A</v>
      </c>
      <c r="AH24" s="184" t="str">
        <f ca="1">IF(ISERROR(AG24),"",INDEX(INDIRECT($AE$3),SUM($AG$4:$AG24)))</f>
        <v/>
      </c>
      <c r="AJ24" s="184" t="e">
        <f ca="1">MATCH(TRUE,OFFSET(INDIRECT(INDEX(INDIRECT(CT_SAtoC1!$A$5),MATCH(SelectionTables!$K$4,INDIRECT(CT_SAtoC1!$G$2),0),0)),0,SUM($AJ$4:$AJ23),1,ProductTable!$C$2-SUM($AJ$4:$AJ23)),0)</f>
        <v>#REF!</v>
      </c>
      <c r="AK24" s="251" t="e">
        <f ca="1">INDEX(INDIRECT(CT_SAtoC1!$G$3),1,SUM($AJ$4:$AJ24))</f>
        <v>#REF!</v>
      </c>
      <c r="AL24" s="184" t="e">
        <f ca="1">MATCH(TRUE,OFFSET(INDIRECT(INDEX(INDIRECT(CT_C1toANT!$B$4),0,MATCH(SelectionTables!$J$4,INDIRECT(CT_C1toANT!$G$3),0))),SUM(AL$4:AL23),0,ProductTable!$M$2-SUM(AL$4:AL23)),0)</f>
        <v>#REF!</v>
      </c>
      <c r="AM24" s="251" t="str">
        <f ca="1">IF(ISERROR(AL24),"",INDEX(INDIRECT(CT_C1toANT!$G$2),SUM(AL$4:AL24)))</f>
        <v/>
      </c>
      <c r="AN24" s="184" t="b">
        <f t="shared" ca="1" si="1"/>
        <v>0</v>
      </c>
      <c r="AO24" s="184" t="e">
        <f ca="1">MATCH(TRUE,OFFSET(INDIRECT(AN$3),SUM(AO$4:AO23),0),0)</f>
        <v>#N/A</v>
      </c>
      <c r="AP24" s="184" t="e">
        <f ca="1">INDEX(INDIRECT(AK$3),SUM(AO$4:AO24))</f>
        <v>#N/A</v>
      </c>
      <c r="AQ24" s="184" t="b">
        <f ca="1">IF(ISERROR(MATCH(AP24,INDIRECT(ProductTable!$AI$4),0)),FALSE,TRUE)</f>
        <v>0</v>
      </c>
      <c r="AR24" s="184" t="e">
        <f ca="1">MATCH(TRUE,OFFSET(INDIRECT($AQ$3),SUM($AR$4:$AR23),0),0)</f>
        <v>#N/A</v>
      </c>
      <c r="AS24" s="184" t="str">
        <f ca="1">IF(ISERROR(AR24),"",INDEX(INDIRECT(AP$3),SUM(AR$4:AR24)))</f>
        <v/>
      </c>
      <c r="AU24" s="184">
        <f ca="1">IF(OR(EXACT(SelectionTables!$I$4,ProductTable!$L$7),EXACT(SelectionTables!$I$4,"")),"",ProductTable!T27)</f>
        <v>0</v>
      </c>
      <c r="AW24" s="540" t="e">
        <f ca="1">MATCH(TRUE,OFFSET(INDIRECT(INDEX(INDIRECT(CT_STAtoANT!$A$5),MATCH(SelectionTables!$G$4,INDIRECT(CT_STAtoANT!$G$2),0),0)),0,SUM($AW$4:$AW23),1,ProductTable!$H$2-SUM($AW$4:$AW23)),0)</f>
        <v>#REF!</v>
      </c>
      <c r="AX24" s="541" t="e">
        <f ca="1">INDEX(INDIRECT(CT_STAtoANT!$G$3),1,SUM($AW$4:$AW24))</f>
        <v>#REF!</v>
      </c>
      <c r="AY24" s="541" t="b">
        <f ca="1">IF(ISERROR(MATCH(AX24,INDIRECT(ProductTable!$J$4),0)),FALSE,TRUE)</f>
        <v>0</v>
      </c>
      <c r="AZ24" s="541" t="e">
        <f ca="1">MATCH(TRUE,OFFSET(INDIRECT($AY$3),SUM($AZ$4:$AZ23),0,ProductTable!$H$2-SUM($AZ$4:$AZ23),1),0)</f>
        <v>#REF!</v>
      </c>
      <c r="BA24" s="541" t="str">
        <f ca="1">IF(ISERROR($AZ24),"",INDEX(INDIRECT($AX$3),SUM($AZ$4:$AZ24)))</f>
        <v/>
      </c>
      <c r="BB24" s="541" t="e">
        <f ca="1">MATCH(TRUE,OFFSET(INDIRECT(INDEX(INDIRECT(CT_APtoANT!$A$5),MATCH(SelectionTables!$H$4,INDIRECT(CT_APtoANT!$G$2),0),0)),0,SUM($BB$4:$BB23),1,ProductTable!$H$2-SUM($BB$4:$BB23)),0)</f>
        <v>#REF!</v>
      </c>
      <c r="BC24" s="541" t="e">
        <f ca="1">INDEX(INDIRECT(CT_APtoANT!$G$3),1,SUM($BB$4:$BB24))</f>
        <v>#REF!</v>
      </c>
      <c r="BD24" s="541" t="b">
        <f t="shared" ca="1" si="2"/>
        <v>0</v>
      </c>
      <c r="BE24" s="541" t="e">
        <f ca="1">MATCH(TRUE,OFFSET(INDIRECT($BD$3),SUM($BE$4:$BE23),0,ProductTable!$H$2-SUM($BE$4:$BE23),1),0)</f>
        <v>#REF!</v>
      </c>
      <c r="BF24" s="541" t="str">
        <f ca="1">IF(ISERROR($BE24),"",INDEX(INDIRECT($BA$3),SUM($BE$4:$BE24)))</f>
        <v/>
      </c>
      <c r="BH24" s="541" t="e">
        <f ca="1">MATCH(TRUE,OFFSET(INDIRECT(INDEX(INDIRECT(CT_APtoC1!$A$5),MATCH(SelectionTables!$H$4,INDIRECT(CT_APtoC1!$G$2),0),0)),0,SUM($BH$4:$BH23),1,ProductTable!$AG$2-SUM($BH$4:$BH23)),0)</f>
        <v>#REF!</v>
      </c>
      <c r="BI24" s="541" t="e">
        <f ca="1">INDEX(INDIRECT(CT_APtoC1!$G$3),1,SUM($BH$4:$BH24))</f>
        <v>#REF!</v>
      </c>
      <c r="BJ24" s="541" t="b">
        <f ca="1">IF(ISERROR(MATCH(BI24,INDIRECT(ProductTable!$AI$4),0)),FALSE,TRUE)</f>
        <v>0</v>
      </c>
      <c r="BK24" s="541" t="e">
        <f ca="1">MATCH(TRUE,OFFSET(INDIRECT($BJ$3),SUM($BK$4:$BK23),0,ProductTable!$AG$2-SUM($BK$4:$BK23),1),0)</f>
        <v>#N/A</v>
      </c>
      <c r="BL24" s="541" t="str">
        <f ca="1">IF(ISERROR($BK24),"",INDEX(INDIRECT($BI$3),SUM($BK$4:$BK24)))</f>
        <v/>
      </c>
    </row>
    <row r="25" spans="2:64" x14ac:dyDescent="0.25">
      <c r="B25" s="134" t="e">
        <f ca="1">MATCH(TRUE,OFFSET(INDIRECT(INDEX(INDIRECT(CT_APtoWLAN!$A$5),MATCH(SelectionTables!$H$4,INDIRECT(CT_APtoWLAN!$G$2),0),0)),0,SUM($B$4:$B24),1,ProductTable!$W$2-SUM($B$4:$B24)),0)</f>
        <v>#N/A</v>
      </c>
      <c r="C25" s="134" t="e">
        <f ca="1">INDEX(INDIRECT(CT_APtoWLAN!$G$3),1,SUM($B$4:$B25))</f>
        <v>#N/A</v>
      </c>
      <c r="D25" s="134" t="b">
        <f ca="1">IF(ISERROR(MATCH(C25,INDIRECT(ProductTable!$Y$4),0)),FALSE,TRUE)</f>
        <v>0</v>
      </c>
      <c r="E25" s="134" t="e">
        <f ca="1">MATCH(TRUE,OFFSET(INDIRECT($D$3),SUM($E$4:$E24),0,ProductTable!$W$2-SUM($E$4:$E24),1),0)</f>
        <v>#N/A</v>
      </c>
      <c r="F25" s="184" t="str">
        <f ca="1">IF(ISERROR($E25),"",INDEX(INDIRECT($C$3),SUM($E$4:$E25)))</f>
        <v/>
      </c>
      <c r="H25" s="134" t="e">
        <f ca="1">MATCH(TRUE,OFFSET(INDIRECT(INDEX(INDIRECT(CT_APtoSTA!$A$5),MATCH(SelectionTables!$H$4,INDIRECT(CT_APtoSTA!$G$2),0),0)),0,SUM($H$4:$H24),1,ProductTable!$AB$2-SUM($H$4:$H24)),0)</f>
        <v>#REF!</v>
      </c>
      <c r="I25" s="248" t="e">
        <f ca="1">INDEX(INDIRECT(CT_APtoSTA!$G$3),1,SUM($H$4:$H25))</f>
        <v>#REF!</v>
      </c>
      <c r="J25" s="134" t="e">
        <f ca="1">MATCH(TRUE,OFFSET(INDIRECT(INDEX(INDIRECT(CT_STAtoWLAN!$B$4),0,MATCH(SelectionTables!$N$4,INDIRECT(CT_STAtoWLAN!$G$3),0))),SUM($J$4:$J24),0,ProductTable!$AB$2-SUM($J$4:$J24)),0)</f>
        <v>#REF!</v>
      </c>
      <c r="K25" s="248" t="str">
        <f ca="1">IF(ISERROR($J25),"",INDEX(INDIRECT(CT_STAtoWLAN!$G$2),SUM($J$4:$J25)))</f>
        <v/>
      </c>
      <c r="L25" s="184" t="b">
        <f t="shared" ca="1" si="3"/>
        <v>0</v>
      </c>
      <c r="M25" s="184" t="e">
        <f ca="1">MATCH(TRUE,OFFSET(INDIRECT($L$3),SUM($M$4:$M24),0),0)</f>
        <v>#N/A</v>
      </c>
      <c r="N25" s="251" t="str">
        <f ca="1">IF(ISERROR(M25),"",INDEX(INDIRECT($I$3),SUM($M$4:$M25)))</f>
        <v/>
      </c>
      <c r="O25" s="184" t="b">
        <f ca="1">IF(N25="",FALSE,IF(ISERROR(MATCH(N25,INDIRECT(ProductTable!$AD$4),0)),FALSE,TRUE))</f>
        <v>0</v>
      </c>
      <c r="P25" s="184" t="e">
        <f ca="1">MATCH(TRUE,OFFSET(INDIRECT($O$3),SUM($P$4:$P24),0),0)</f>
        <v>#N/A</v>
      </c>
      <c r="Q25" s="184" t="str">
        <f ca="1">IF(ISERROR(P25),"",INDEX(INDIRECT($N$3),SUM($P$4:$P25)))</f>
        <v/>
      </c>
      <c r="S25" s="134" t="e">
        <f ca="1">MATCH(TRUE,OFFSET(INDIRECT(INDEX(INDIRECT(CT_STAtoANT!$A$5),MATCH(SelectionTables!$G$4,INDIRECT(CT_STAtoANT!$G$2),0),0)),0,SUM($S$4:$S24),1,ProductTable!$H$2-SUM($S$4:$S24)),0)</f>
        <v>#REF!</v>
      </c>
      <c r="T25" s="184" t="e">
        <f ca="1">INDEX(INDIRECT(CT_STAtoANT!$G$3),1,SUM($S$4:$S25))</f>
        <v>#REF!</v>
      </c>
      <c r="U25" s="184" t="b">
        <f ca="1">IF(ISERROR(MATCH(T25,INDIRECT(ProductTable!$J$4),0)),FALSE,TRUE)</f>
        <v>0</v>
      </c>
      <c r="V25" s="184" t="e">
        <f ca="1">MATCH(TRUE,OFFSET(INDIRECT($U$3),SUM($V$4:$V24),0,ProductTable!$H$2-SUM($V$4:$V24),1),0)</f>
        <v>#REF!</v>
      </c>
      <c r="W25" s="184" t="str">
        <f ca="1">IF(ISERROR($V25),"",INDEX(INDIRECT($T$3),SUM($V$4:$V25)))</f>
        <v/>
      </c>
      <c r="Y25" s="184" t="e">
        <f ca="1">MATCH(TRUE,OFFSET(INDIRECT(INDEX(INDIRECT(CT_APtoC1!$A$5),MATCH(SelectionTables!$H$4,INDIRECT(CT_APtoC1!$G$2),0),0)),0,SUM($Y$4:$Y24),1,ProductTable!$C$2-SUM($Y$4:$Y24)),0)</f>
        <v>#REF!</v>
      </c>
      <c r="Z25" s="251" t="e">
        <f ca="1">INDEX(INDIRECT(CT_APtoC1!$G$3),1,SUM($Y$4:$Y25))</f>
        <v>#REF!</v>
      </c>
      <c r="AA25" s="184" t="e">
        <f ca="1">MATCH(TRUE,OFFSET(INDIRECT(INDEX(INDIRECT(CT_C1toANT!$B$4),0,MATCH(SelectionTables!$J$4,INDIRECT(CT_C1toANT!$G$3),0))),SUM(AA$4:AA24),0,ProductTable!$M$2-SUM(AA$4:AA24)),0)</f>
        <v>#REF!</v>
      </c>
      <c r="AB25" s="251" t="str">
        <f ca="1">IF(ISERROR(AA25),"",INDEX(INDIRECT(CT_C1toANT!$G$2),SUM(AA$4:AA25)))</f>
        <v/>
      </c>
      <c r="AC25" s="184" t="b">
        <f t="shared" ca="1" si="0"/>
        <v>0</v>
      </c>
      <c r="AD25" s="184" t="e">
        <f ca="1">MATCH(TRUE,OFFSET(INDIRECT($AC$3),SUM($AD$4:$AD24),0),0)</f>
        <v>#N/A</v>
      </c>
      <c r="AE25" s="184" t="e">
        <f ca="1">INDEX(INDIRECT($Z$3),SUM($AD$4:$AD25))</f>
        <v>#N/A</v>
      </c>
      <c r="AF25" s="184" t="b">
        <f ca="1">IF(ISERROR(MATCH(AE25,INDIRECT(ProductTable!$O$4),0)),FALSE,TRUE)</f>
        <v>0</v>
      </c>
      <c r="AG25" s="184" t="e">
        <f ca="1">MATCH(TRUE,OFFSET(INDIRECT($AF$3),SUM($AG$4:$AG24),0),0)</f>
        <v>#N/A</v>
      </c>
      <c r="AH25" s="184" t="str">
        <f ca="1">IF(ISERROR(AG25),"",INDEX(INDIRECT($AE$3),SUM($AG$4:$AG25)))</f>
        <v/>
      </c>
      <c r="AJ25" s="184" t="e">
        <f ca="1">MATCH(TRUE,OFFSET(INDIRECT(INDEX(INDIRECT(CT_SAtoC1!$A$5),MATCH(SelectionTables!$K$4,INDIRECT(CT_SAtoC1!$G$2),0),0)),0,SUM($AJ$4:$AJ24),1,ProductTable!$C$2-SUM($AJ$4:$AJ24)),0)</f>
        <v>#REF!</v>
      </c>
      <c r="AK25" s="251" t="e">
        <f ca="1">INDEX(INDIRECT(CT_SAtoC1!$G$3),1,SUM($AJ$4:$AJ25))</f>
        <v>#REF!</v>
      </c>
      <c r="AL25" s="184" t="e">
        <f ca="1">MATCH(TRUE,OFFSET(INDIRECT(INDEX(INDIRECT(CT_C1toANT!$B$4),0,MATCH(SelectionTables!$J$4,INDIRECT(CT_C1toANT!$G$3),0))),SUM(AL$4:AL24),0,ProductTable!$M$2-SUM(AL$4:AL24)),0)</f>
        <v>#REF!</v>
      </c>
      <c r="AM25" s="251" t="str">
        <f ca="1">IF(ISERROR(AL25),"",INDEX(INDIRECT(CT_C1toANT!$G$2),SUM(AL$4:AL25)))</f>
        <v/>
      </c>
      <c r="AN25" s="184" t="b">
        <f t="shared" ca="1" si="1"/>
        <v>0</v>
      </c>
      <c r="AO25" s="184" t="e">
        <f ca="1">MATCH(TRUE,OFFSET(INDIRECT(AN$3),SUM(AO$4:AO24),0),0)</f>
        <v>#N/A</v>
      </c>
      <c r="AP25" s="184" t="e">
        <f ca="1">INDEX(INDIRECT(AK$3),SUM(AO$4:AO25))</f>
        <v>#N/A</v>
      </c>
      <c r="AQ25" s="184" t="b">
        <f ca="1">IF(ISERROR(MATCH(AP25,INDIRECT(ProductTable!$AI$4),0)),FALSE,TRUE)</f>
        <v>0</v>
      </c>
      <c r="AR25" s="184" t="e">
        <f ca="1">MATCH(TRUE,OFFSET(INDIRECT($AQ$3),SUM($AR$4:$AR24),0),0)</f>
        <v>#N/A</v>
      </c>
      <c r="AS25" s="184" t="str">
        <f ca="1">IF(ISERROR(AR25),"",INDEX(INDIRECT(AP$3),SUM(AR$4:AR25)))</f>
        <v/>
      </c>
      <c r="AU25" s="184">
        <f ca="1">IF(OR(EXACT(SelectionTables!$I$4,ProductTable!$L$7),EXACT(SelectionTables!$I$4,"")),"",ProductTable!T28)</f>
        <v>0</v>
      </c>
      <c r="AW25" s="540" t="e">
        <f ca="1">MATCH(TRUE,OFFSET(INDIRECT(INDEX(INDIRECT(CT_STAtoANT!$A$5),MATCH(SelectionTables!$G$4,INDIRECT(CT_STAtoANT!$G$2),0),0)),0,SUM($AW$4:$AW24),1,ProductTable!$H$2-SUM($AW$4:$AW24)),0)</f>
        <v>#REF!</v>
      </c>
      <c r="AX25" s="541" t="e">
        <f ca="1">INDEX(INDIRECT(CT_STAtoANT!$G$3),1,SUM($AW$4:$AW25))</f>
        <v>#REF!</v>
      </c>
      <c r="AY25" s="541" t="b">
        <f ca="1">IF(ISERROR(MATCH(AX25,INDIRECT(ProductTable!$J$4),0)),FALSE,TRUE)</f>
        <v>0</v>
      </c>
      <c r="AZ25" s="541" t="e">
        <f ca="1">MATCH(TRUE,OFFSET(INDIRECT($AY$3),SUM($AZ$4:$AZ24),0,ProductTable!$H$2-SUM($AZ$4:$AZ24),1),0)</f>
        <v>#REF!</v>
      </c>
      <c r="BA25" s="541" t="str">
        <f ca="1">IF(ISERROR($AZ25),"",INDEX(INDIRECT($AX$3),SUM($AZ$4:$AZ25)))</f>
        <v/>
      </c>
      <c r="BB25" s="541" t="e">
        <f ca="1">MATCH(TRUE,OFFSET(INDIRECT(INDEX(INDIRECT(CT_APtoANT!$A$5),MATCH(SelectionTables!$H$4,INDIRECT(CT_APtoANT!$G$2),0),0)),0,SUM($BB$4:$BB24),1,ProductTable!$H$2-SUM($BB$4:$BB24)),0)</f>
        <v>#REF!</v>
      </c>
      <c r="BC25" s="541" t="e">
        <f ca="1">INDEX(INDIRECT(CT_APtoANT!$G$3),1,SUM($BB$4:$BB25))</f>
        <v>#REF!</v>
      </c>
      <c r="BD25" s="541" t="b">
        <f t="shared" ca="1" si="2"/>
        <v>0</v>
      </c>
      <c r="BE25" s="541" t="e">
        <f ca="1">MATCH(TRUE,OFFSET(INDIRECT($BD$3),SUM($BE$4:$BE24),0,ProductTable!$H$2-SUM($BE$4:$BE24),1),0)</f>
        <v>#REF!</v>
      </c>
      <c r="BF25" s="541" t="str">
        <f ca="1">IF(ISERROR($BE25),"",INDEX(INDIRECT($BA$3),SUM($BE$4:$BE25)))</f>
        <v/>
      </c>
      <c r="BH25" s="541" t="e">
        <f ca="1">MATCH(TRUE,OFFSET(INDIRECT(INDEX(INDIRECT(CT_APtoC1!$A$5),MATCH(SelectionTables!$H$4,INDIRECT(CT_APtoC1!$G$2),0),0)),0,SUM($BH$4:$BH24),1,ProductTable!$AG$2-SUM($BH$4:$BH24)),0)</f>
        <v>#REF!</v>
      </c>
      <c r="BI25" s="541" t="e">
        <f ca="1">INDEX(INDIRECT(CT_APtoC1!$G$3),1,SUM($BH$4:$BH25))</f>
        <v>#REF!</v>
      </c>
      <c r="BJ25" s="541" t="b">
        <f ca="1">IF(ISERROR(MATCH(BI25,INDIRECT(ProductTable!$AI$4),0)),FALSE,TRUE)</f>
        <v>0</v>
      </c>
      <c r="BK25" s="541" t="e">
        <f ca="1">MATCH(TRUE,OFFSET(INDIRECT($BJ$3),SUM($BK$4:$BK24),0,ProductTable!$AG$2-SUM($BK$4:$BK24),1),0)</f>
        <v>#N/A</v>
      </c>
      <c r="BL25" s="541" t="str">
        <f ca="1">IF(ISERROR($BK25),"",INDEX(INDIRECT($BI$3),SUM($BK$4:$BK25)))</f>
        <v/>
      </c>
    </row>
    <row r="26" spans="2:64" x14ac:dyDescent="0.25">
      <c r="B26" s="134" t="e">
        <f ca="1">MATCH(TRUE,OFFSET(INDIRECT(INDEX(INDIRECT(CT_APtoWLAN!$A$5),MATCH(SelectionTables!$H$4,INDIRECT(CT_APtoWLAN!$G$2),0),0)),0,SUM($B$4:$B25),1,ProductTable!$W$2-SUM($B$4:$B25)),0)</f>
        <v>#N/A</v>
      </c>
      <c r="C26" s="134" t="e">
        <f ca="1">INDEX(INDIRECT(CT_APtoWLAN!$G$3),1,SUM($B$4:$B26))</f>
        <v>#N/A</v>
      </c>
      <c r="D26" s="134" t="b">
        <f ca="1">IF(ISERROR(MATCH(C26,INDIRECT(ProductTable!$Y$4),0)),FALSE,TRUE)</f>
        <v>0</v>
      </c>
      <c r="E26" s="134" t="e">
        <f ca="1">MATCH(TRUE,OFFSET(INDIRECT($D$3),SUM($E$4:$E25),0,ProductTable!$W$2-SUM($E$4:$E25),1),0)</f>
        <v>#N/A</v>
      </c>
      <c r="F26" s="184" t="str">
        <f ca="1">IF(ISERROR($E26),"",INDEX(INDIRECT($C$3),SUM($E$4:$E26)))</f>
        <v/>
      </c>
      <c r="H26" s="134" t="e">
        <f ca="1">MATCH(TRUE,OFFSET(INDIRECT(INDEX(INDIRECT(CT_APtoSTA!$A$5),MATCH(SelectionTables!$H$4,INDIRECT(CT_APtoSTA!$G$2),0),0)),0,SUM($H$4:$H25),1,ProductTable!$AB$2-SUM($H$4:$H25)),0)</f>
        <v>#REF!</v>
      </c>
      <c r="I26" s="248" t="e">
        <f ca="1">INDEX(INDIRECT(CT_APtoSTA!$G$3),1,SUM($H$4:$H26))</f>
        <v>#REF!</v>
      </c>
      <c r="J26" s="134" t="e">
        <f ca="1">MATCH(TRUE,OFFSET(INDIRECT(INDEX(INDIRECT(CT_STAtoWLAN!$B$4),0,MATCH(SelectionTables!$N$4,INDIRECT(CT_STAtoWLAN!$G$3),0))),SUM($J$4:$J25),0,ProductTable!$AB$2-SUM($J$4:$J25)),0)</f>
        <v>#REF!</v>
      </c>
      <c r="K26" s="248" t="str">
        <f ca="1">IF(ISERROR($J26),"",INDEX(INDIRECT(CT_STAtoWLAN!$G$2),SUM($J$4:$J26)))</f>
        <v/>
      </c>
      <c r="L26" s="184" t="b">
        <f t="shared" ca="1" si="3"/>
        <v>0</v>
      </c>
      <c r="M26" s="184" t="e">
        <f ca="1">MATCH(TRUE,OFFSET(INDIRECT($L$3),SUM($M$4:$M25),0),0)</f>
        <v>#N/A</v>
      </c>
      <c r="N26" s="251" t="str">
        <f ca="1">IF(ISERROR(M26),"",INDEX(INDIRECT($I$3),SUM($M$4:$M26)))</f>
        <v/>
      </c>
      <c r="O26" s="184" t="b">
        <f ca="1">IF(N26="",FALSE,IF(ISERROR(MATCH(N26,INDIRECT(ProductTable!$AD$4),0)),FALSE,TRUE))</f>
        <v>0</v>
      </c>
      <c r="P26" s="184" t="e">
        <f ca="1">MATCH(TRUE,OFFSET(INDIRECT($O$3),SUM($P$4:$P25),0),0)</f>
        <v>#N/A</v>
      </c>
      <c r="Q26" s="184" t="str">
        <f ca="1">IF(ISERROR(P26),"",INDEX(INDIRECT($N$3),SUM($P$4:$P26)))</f>
        <v/>
      </c>
      <c r="S26" s="134" t="e">
        <f ca="1">MATCH(TRUE,OFFSET(INDIRECT(INDEX(INDIRECT(CT_STAtoANT!$A$5),MATCH(SelectionTables!$G$4,INDIRECT(CT_STAtoANT!$G$2),0),0)),0,SUM($S$4:$S25),1,ProductTable!$H$2-SUM($S$4:$S25)),0)</f>
        <v>#REF!</v>
      </c>
      <c r="T26" s="184" t="e">
        <f ca="1">INDEX(INDIRECT(CT_STAtoANT!$G$3),1,SUM($S$4:$S26))</f>
        <v>#REF!</v>
      </c>
      <c r="U26" s="184" t="b">
        <f ca="1">IF(ISERROR(MATCH(T26,INDIRECT(ProductTable!$J$4),0)),FALSE,TRUE)</f>
        <v>0</v>
      </c>
      <c r="V26" s="184" t="e">
        <f ca="1">MATCH(TRUE,OFFSET(INDIRECT($U$3),SUM($V$4:$V25),0,ProductTable!$H$2-SUM($V$4:$V25),1),0)</f>
        <v>#REF!</v>
      </c>
      <c r="W26" s="184" t="str">
        <f ca="1">IF(ISERROR($V26),"",INDEX(INDIRECT($T$3),SUM($V$4:$V26)))</f>
        <v/>
      </c>
      <c r="Y26" s="184" t="e">
        <f ca="1">MATCH(TRUE,OFFSET(INDIRECT(INDEX(INDIRECT(CT_APtoC1!$A$5),MATCH(SelectionTables!$H$4,INDIRECT(CT_APtoC1!$G$2),0),0)),0,SUM($Y$4:$Y25),1,ProductTable!$C$2-SUM($Y$4:$Y25)),0)</f>
        <v>#REF!</v>
      </c>
      <c r="Z26" s="251" t="e">
        <f ca="1">INDEX(INDIRECT(CT_APtoC1!$G$3),1,SUM($Y$4:$Y26))</f>
        <v>#REF!</v>
      </c>
      <c r="AA26" s="184" t="e">
        <f ca="1">MATCH(TRUE,OFFSET(INDIRECT(INDEX(INDIRECT(CT_C1toANT!$B$4),0,MATCH(SelectionTables!$J$4,INDIRECT(CT_C1toANT!$G$3),0))),SUM(AA$4:AA25),0,ProductTable!$M$2-SUM(AA$4:AA25)),0)</f>
        <v>#REF!</v>
      </c>
      <c r="AB26" s="251" t="str">
        <f ca="1">IF(ISERROR(AA26),"",INDEX(INDIRECT(CT_C1toANT!$G$2),SUM(AA$4:AA26)))</f>
        <v/>
      </c>
      <c r="AC26" s="184" t="b">
        <f t="shared" ca="1" si="0"/>
        <v>0</v>
      </c>
      <c r="AD26" s="184" t="e">
        <f ca="1">MATCH(TRUE,OFFSET(INDIRECT($AC$3),SUM($AD$4:$AD25),0),0)</f>
        <v>#N/A</v>
      </c>
      <c r="AE26" s="184" t="e">
        <f ca="1">INDEX(INDIRECT($Z$3),SUM($AD$4:$AD26))</f>
        <v>#N/A</v>
      </c>
      <c r="AF26" s="184" t="b">
        <f ca="1">IF(ISERROR(MATCH(AE26,INDIRECT(ProductTable!$O$4),0)),FALSE,TRUE)</f>
        <v>0</v>
      </c>
      <c r="AG26" s="184" t="e">
        <f ca="1">MATCH(TRUE,OFFSET(INDIRECT($AF$3),SUM($AG$4:$AG25),0),0)</f>
        <v>#N/A</v>
      </c>
      <c r="AH26" s="184" t="str">
        <f ca="1">IF(ISERROR(AG26),"",INDEX(INDIRECT($AE$3),SUM($AG$4:$AG26)))</f>
        <v/>
      </c>
      <c r="AJ26" s="184" t="e">
        <f ca="1">MATCH(TRUE,OFFSET(INDIRECT(INDEX(INDIRECT(CT_SAtoC1!$A$5),MATCH(SelectionTables!$K$4,INDIRECT(CT_SAtoC1!$G$2),0),0)),0,SUM($AJ$4:$AJ25),1,ProductTable!$C$2-SUM($AJ$4:$AJ25)),0)</f>
        <v>#REF!</v>
      </c>
      <c r="AK26" s="251" t="e">
        <f ca="1">INDEX(INDIRECT(CT_SAtoC1!$G$3),1,SUM($AJ$4:$AJ26))</f>
        <v>#REF!</v>
      </c>
      <c r="AL26" s="184" t="e">
        <f ca="1">MATCH(TRUE,OFFSET(INDIRECT(INDEX(INDIRECT(CT_C1toANT!$B$4),0,MATCH(SelectionTables!$J$4,INDIRECT(CT_C1toANT!$G$3),0))),SUM(AL$4:AL25),0,ProductTable!$M$2-SUM(AL$4:AL25)),0)</f>
        <v>#REF!</v>
      </c>
      <c r="AM26" s="251" t="str">
        <f ca="1">IF(ISERROR(AL26),"",INDEX(INDIRECT(CT_C1toANT!$G$2),SUM(AL$4:AL26)))</f>
        <v/>
      </c>
      <c r="AN26" s="184" t="b">
        <f t="shared" ca="1" si="1"/>
        <v>0</v>
      </c>
      <c r="AO26" s="184" t="e">
        <f ca="1">MATCH(TRUE,OFFSET(INDIRECT(AN$3),SUM(AO$4:AO25),0),0)</f>
        <v>#N/A</v>
      </c>
      <c r="AP26" s="184" t="e">
        <f ca="1">INDEX(INDIRECT(AK$3),SUM(AO$4:AO26))</f>
        <v>#N/A</v>
      </c>
      <c r="AQ26" s="184" t="b">
        <f ca="1">IF(ISERROR(MATCH(AP26,INDIRECT(ProductTable!$AI$4),0)),FALSE,TRUE)</f>
        <v>0</v>
      </c>
      <c r="AR26" s="184" t="e">
        <f ca="1">MATCH(TRUE,OFFSET(INDIRECT($AQ$3),SUM($AR$4:$AR25),0),0)</f>
        <v>#N/A</v>
      </c>
      <c r="AS26" s="184" t="str">
        <f ca="1">IF(ISERROR(AR26),"",INDEX(INDIRECT(AP$3),SUM(AR$4:AR26)))</f>
        <v/>
      </c>
      <c r="AU26" s="184">
        <f ca="1">IF(OR(EXACT(SelectionTables!$I$4,ProductTable!$L$7),EXACT(SelectionTables!$I$4,"")),"",ProductTable!T29)</f>
        <v>0</v>
      </c>
      <c r="AW26" s="540" t="e">
        <f ca="1">MATCH(TRUE,OFFSET(INDIRECT(INDEX(INDIRECT(CT_STAtoANT!$A$5),MATCH(SelectionTables!$G$4,INDIRECT(CT_STAtoANT!$G$2),0),0)),0,SUM($AW$4:$AW25),1,ProductTable!$H$2-SUM($AW$4:$AW25)),0)</f>
        <v>#REF!</v>
      </c>
      <c r="AX26" s="541" t="e">
        <f ca="1">INDEX(INDIRECT(CT_STAtoANT!$G$3),1,SUM($AW$4:$AW26))</f>
        <v>#REF!</v>
      </c>
      <c r="AY26" s="541" t="b">
        <f ca="1">IF(ISERROR(MATCH(AX26,INDIRECT(ProductTable!$J$4),0)),FALSE,TRUE)</f>
        <v>0</v>
      </c>
      <c r="AZ26" s="541" t="e">
        <f ca="1">MATCH(TRUE,OFFSET(INDIRECT($AY$3),SUM($AZ$4:$AZ25),0,ProductTable!$H$2-SUM($AZ$4:$AZ25),1),0)</f>
        <v>#REF!</v>
      </c>
      <c r="BA26" s="541" t="str">
        <f ca="1">IF(ISERROR($AZ26),"",INDEX(INDIRECT($AX$3),SUM($AZ$4:$AZ26)))</f>
        <v/>
      </c>
      <c r="BB26" s="541" t="e">
        <f ca="1">MATCH(TRUE,OFFSET(INDIRECT(INDEX(INDIRECT(CT_APtoANT!$A$5),MATCH(SelectionTables!$H$4,INDIRECT(CT_APtoANT!$G$2),0),0)),0,SUM($BB$4:$BB25),1,ProductTable!$H$2-SUM($BB$4:$BB25)),0)</f>
        <v>#REF!</v>
      </c>
      <c r="BC26" s="541" t="e">
        <f ca="1">INDEX(INDIRECT(CT_APtoANT!$G$3),1,SUM($BB$4:$BB26))</f>
        <v>#REF!</v>
      </c>
      <c r="BD26" s="541" t="b">
        <f t="shared" ca="1" si="2"/>
        <v>0</v>
      </c>
      <c r="BE26" s="541" t="e">
        <f ca="1">MATCH(TRUE,OFFSET(INDIRECT($BD$3),SUM($BE$4:$BE25),0,ProductTable!$H$2-SUM($BE$4:$BE25),1),0)</f>
        <v>#REF!</v>
      </c>
      <c r="BF26" s="541" t="str">
        <f ca="1">IF(ISERROR($BE26),"",INDEX(INDIRECT($BA$3),SUM($BE$4:$BE26)))</f>
        <v/>
      </c>
      <c r="BH26" s="541" t="e">
        <f ca="1">MATCH(TRUE,OFFSET(INDIRECT(INDEX(INDIRECT(CT_APtoC1!$A$5),MATCH(SelectionTables!$H$4,INDIRECT(CT_APtoC1!$G$2),0),0)),0,SUM($BH$4:$BH25),1,ProductTable!$AG$2-SUM($BH$4:$BH25)),0)</f>
        <v>#REF!</v>
      </c>
      <c r="BI26" s="541" t="e">
        <f ca="1">INDEX(INDIRECT(CT_APtoC1!$G$3),1,SUM($BH$4:$BH26))</f>
        <v>#REF!</v>
      </c>
      <c r="BJ26" s="541" t="b">
        <f ca="1">IF(ISERROR(MATCH(BI26,INDIRECT(ProductTable!$AI$4),0)),FALSE,TRUE)</f>
        <v>0</v>
      </c>
      <c r="BK26" s="541" t="e">
        <f ca="1">MATCH(TRUE,OFFSET(INDIRECT($BJ$3),SUM($BK$4:$BK25),0,ProductTable!$AG$2-SUM($BK$4:$BK25),1),0)</f>
        <v>#N/A</v>
      </c>
      <c r="BL26" s="541" t="str">
        <f ca="1">IF(ISERROR($BK26),"",INDEX(INDIRECT($BI$3),SUM($BK$4:$BK26)))</f>
        <v/>
      </c>
    </row>
    <row r="27" spans="2:64" x14ac:dyDescent="0.25">
      <c r="B27" s="134" t="e">
        <f ca="1">MATCH(TRUE,OFFSET(INDIRECT(INDEX(INDIRECT(CT_APtoWLAN!$A$5),MATCH(SelectionTables!$H$4,INDIRECT(CT_APtoWLAN!$G$2),0),0)),0,SUM($B$4:$B26),1,ProductTable!$W$2-SUM($B$4:$B26)),0)</f>
        <v>#N/A</v>
      </c>
      <c r="C27" s="134" t="e">
        <f ca="1">INDEX(INDIRECT(CT_APtoWLAN!$G$3),1,SUM($B$4:$B27))</f>
        <v>#N/A</v>
      </c>
      <c r="D27" s="134" t="b">
        <f ca="1">IF(ISERROR(MATCH(C27,INDIRECT(ProductTable!$Y$4),0)),FALSE,TRUE)</f>
        <v>0</v>
      </c>
      <c r="E27" s="134" t="e">
        <f ca="1">MATCH(TRUE,OFFSET(INDIRECT($D$3),SUM($E$4:$E26),0,ProductTable!$W$2-SUM($E$4:$E26),1),0)</f>
        <v>#N/A</v>
      </c>
      <c r="F27" s="184" t="str">
        <f ca="1">IF(ISERROR($E27),"",INDEX(INDIRECT($C$3),SUM($E$4:$E27)))</f>
        <v/>
      </c>
      <c r="H27" s="134" t="e">
        <f ca="1">MATCH(TRUE,OFFSET(INDIRECT(INDEX(INDIRECT(CT_APtoSTA!$A$5),MATCH(SelectionTables!$H$4,INDIRECT(CT_APtoSTA!$G$2),0),0)),0,SUM($H$4:$H26),1,ProductTable!$AB$2-SUM($H$4:$H26)),0)</f>
        <v>#REF!</v>
      </c>
      <c r="I27" s="248" t="e">
        <f ca="1">INDEX(INDIRECT(CT_APtoSTA!$G$3),1,SUM($H$4:$H27))</f>
        <v>#REF!</v>
      </c>
      <c r="J27" s="134" t="e">
        <f ca="1">MATCH(TRUE,OFFSET(INDIRECT(INDEX(INDIRECT(CT_STAtoWLAN!$B$4),0,MATCH(SelectionTables!$N$4,INDIRECT(CT_STAtoWLAN!$G$3),0))),SUM($J$4:$J26),0,ProductTable!$AB$2-SUM($J$4:$J26)),0)</f>
        <v>#REF!</v>
      </c>
      <c r="K27" s="248" t="str">
        <f ca="1">IF(ISERROR($J27),"",INDEX(INDIRECT(CT_STAtoWLAN!$G$2),SUM($J$4:$J27)))</f>
        <v/>
      </c>
      <c r="L27" s="184" t="b">
        <f t="shared" ca="1" si="3"/>
        <v>0</v>
      </c>
      <c r="M27" s="184" t="e">
        <f ca="1">MATCH(TRUE,OFFSET(INDIRECT($L$3),SUM($M$4:$M26),0),0)</f>
        <v>#N/A</v>
      </c>
      <c r="N27" s="251" t="str">
        <f ca="1">IF(ISERROR(M27),"",INDEX(INDIRECT($I$3),SUM($M$4:$M27)))</f>
        <v/>
      </c>
      <c r="O27" s="184" t="b">
        <f ca="1">IF(N27="",FALSE,IF(ISERROR(MATCH(N27,INDIRECT(ProductTable!$AD$4),0)),FALSE,TRUE))</f>
        <v>0</v>
      </c>
      <c r="P27" s="184" t="e">
        <f ca="1">MATCH(TRUE,OFFSET(INDIRECT($O$3),SUM($P$4:$P26),0),0)</f>
        <v>#N/A</v>
      </c>
      <c r="Q27" s="184" t="str">
        <f ca="1">IF(ISERROR(P27),"",INDEX(INDIRECT($N$3),SUM($P$4:$P27)))</f>
        <v/>
      </c>
      <c r="S27" s="134" t="e">
        <f ca="1">MATCH(TRUE,OFFSET(INDIRECT(INDEX(INDIRECT(CT_STAtoANT!$A$5),MATCH(SelectionTables!$G$4,INDIRECT(CT_STAtoANT!$G$2),0),0)),0,SUM($S$4:$S26),1,ProductTable!$H$2-SUM($S$4:$S26)),0)</f>
        <v>#REF!</v>
      </c>
      <c r="T27" s="184" t="e">
        <f ca="1">INDEX(INDIRECT(CT_STAtoANT!$G$3),1,SUM($S$4:$S27))</f>
        <v>#REF!</v>
      </c>
      <c r="U27" s="184" t="b">
        <f ca="1">IF(ISERROR(MATCH(T27,INDIRECT(ProductTable!$J$4),0)),FALSE,TRUE)</f>
        <v>0</v>
      </c>
      <c r="V27" s="184" t="e">
        <f ca="1">MATCH(TRUE,OFFSET(INDIRECT($U$3),SUM($V$4:$V26),0,ProductTable!$H$2-SUM($V$4:$V26),1),0)</f>
        <v>#REF!</v>
      </c>
      <c r="W27" s="184" t="str">
        <f ca="1">IF(ISERROR($V27),"",INDEX(INDIRECT($T$3),SUM($V$4:$V27)))</f>
        <v/>
      </c>
      <c r="Y27" s="184" t="e">
        <f ca="1">MATCH(TRUE,OFFSET(INDIRECT(INDEX(INDIRECT(CT_APtoC1!$A$5),MATCH(SelectionTables!$H$4,INDIRECT(CT_APtoC1!$G$2),0),0)),0,SUM($Y$4:$Y26),1,ProductTable!$C$2-SUM($Y$4:$Y26)),0)</f>
        <v>#REF!</v>
      </c>
      <c r="Z27" s="251" t="e">
        <f ca="1">INDEX(INDIRECT(CT_APtoC1!$G$3),1,SUM($Y$4:$Y27))</f>
        <v>#REF!</v>
      </c>
      <c r="AA27" s="184" t="e">
        <f ca="1">MATCH(TRUE,OFFSET(INDIRECT(INDEX(INDIRECT(CT_C1toANT!$B$4),0,MATCH(SelectionTables!$J$4,INDIRECT(CT_C1toANT!$G$3),0))),SUM(AA$4:AA26),0,ProductTable!$M$2-SUM(AA$4:AA26)),0)</f>
        <v>#REF!</v>
      </c>
      <c r="AB27" s="251" t="str">
        <f ca="1">IF(ISERROR(AA27),"",INDEX(INDIRECT(CT_C1toANT!$G$2),SUM(AA$4:AA27)))</f>
        <v/>
      </c>
      <c r="AC27" s="184" t="b">
        <f t="shared" ca="1" si="0"/>
        <v>0</v>
      </c>
      <c r="AD27" s="184" t="e">
        <f ca="1">MATCH(TRUE,OFFSET(INDIRECT($AC$3),SUM($AD$4:$AD26),0),0)</f>
        <v>#N/A</v>
      </c>
      <c r="AE27" s="184" t="e">
        <f ca="1">INDEX(INDIRECT($Z$3),SUM($AD$4:$AD27))</f>
        <v>#N/A</v>
      </c>
      <c r="AF27" s="184" t="b">
        <f ca="1">IF(ISERROR(MATCH(AE27,INDIRECT(ProductTable!$O$4),0)),FALSE,TRUE)</f>
        <v>0</v>
      </c>
      <c r="AG27" s="184" t="e">
        <f ca="1">MATCH(TRUE,OFFSET(INDIRECT($AF$3),SUM($AG$4:$AG26),0),0)</f>
        <v>#N/A</v>
      </c>
      <c r="AH27" s="184" t="str">
        <f ca="1">IF(ISERROR(AG27),"",INDEX(INDIRECT($AE$3),SUM($AG$4:$AG27)))</f>
        <v/>
      </c>
      <c r="AJ27" s="184" t="e">
        <f ca="1">MATCH(TRUE,OFFSET(INDIRECT(INDEX(INDIRECT(CT_SAtoC1!$A$5),MATCH(SelectionTables!$K$4,INDIRECT(CT_SAtoC1!$G$2),0),0)),0,SUM($AJ$4:$AJ26),1,ProductTable!$C$2-SUM($AJ$4:$AJ26)),0)</f>
        <v>#REF!</v>
      </c>
      <c r="AK27" s="251" t="e">
        <f ca="1">INDEX(INDIRECT(CT_SAtoC1!$G$3),1,SUM($AJ$4:$AJ27))</f>
        <v>#REF!</v>
      </c>
      <c r="AL27" s="184" t="e">
        <f ca="1">MATCH(TRUE,OFFSET(INDIRECT(INDEX(INDIRECT(CT_C1toANT!$B$4),0,MATCH(SelectionTables!$J$4,INDIRECT(CT_C1toANT!$G$3),0))),SUM(AL$4:AL26),0,ProductTable!$M$2-SUM(AL$4:AL26)),0)</f>
        <v>#REF!</v>
      </c>
      <c r="AM27" s="251" t="str">
        <f ca="1">IF(ISERROR(AL27),"",INDEX(INDIRECT(CT_C1toANT!$G$2),SUM(AL$4:AL27)))</f>
        <v/>
      </c>
      <c r="AN27" s="184" t="b">
        <f t="shared" ca="1" si="1"/>
        <v>0</v>
      </c>
      <c r="AO27" s="184" t="e">
        <f ca="1">MATCH(TRUE,OFFSET(INDIRECT(AN$3),SUM(AO$4:AO26),0),0)</f>
        <v>#N/A</v>
      </c>
      <c r="AP27" s="184" t="e">
        <f ca="1">INDEX(INDIRECT(AK$3),SUM(AO$4:AO27))</f>
        <v>#N/A</v>
      </c>
      <c r="AQ27" s="184" t="b">
        <f ca="1">IF(ISERROR(MATCH(AP27,INDIRECT(ProductTable!$AI$4),0)),FALSE,TRUE)</f>
        <v>0</v>
      </c>
      <c r="AR27" s="184" t="e">
        <f ca="1">MATCH(TRUE,OFFSET(INDIRECT($AQ$3),SUM($AR$4:$AR26),0),0)</f>
        <v>#N/A</v>
      </c>
      <c r="AS27" s="184" t="str">
        <f ca="1">IF(ISERROR(AR27),"",INDEX(INDIRECT(AP$3),SUM(AR$4:AR27)))</f>
        <v/>
      </c>
      <c r="AU27" s="184">
        <f ca="1">IF(OR(EXACT(SelectionTables!$I$4,ProductTable!$L$7),EXACT(SelectionTables!$I$4,"")),"",ProductTable!T30)</f>
        <v>0</v>
      </c>
      <c r="AW27" s="540" t="e">
        <f ca="1">MATCH(TRUE,OFFSET(INDIRECT(INDEX(INDIRECT(CT_STAtoANT!$A$5),MATCH(SelectionTables!$G$4,INDIRECT(CT_STAtoANT!$G$2),0),0)),0,SUM($AW$4:$AW26),1,ProductTable!$H$2-SUM($AW$4:$AW26)),0)</f>
        <v>#REF!</v>
      </c>
      <c r="AX27" s="541" t="e">
        <f ca="1">INDEX(INDIRECT(CT_STAtoANT!$G$3),1,SUM($AW$4:$AW27))</f>
        <v>#REF!</v>
      </c>
      <c r="AY27" s="541" t="b">
        <f ca="1">IF(ISERROR(MATCH(AX27,INDIRECT(ProductTable!$J$4),0)),FALSE,TRUE)</f>
        <v>0</v>
      </c>
      <c r="AZ27" s="541" t="e">
        <f ca="1">MATCH(TRUE,OFFSET(INDIRECT($AY$3),SUM($AZ$4:$AZ26),0,ProductTable!$H$2-SUM($AZ$4:$AZ26),1),0)</f>
        <v>#REF!</v>
      </c>
      <c r="BA27" s="541" t="str">
        <f ca="1">IF(ISERROR($AZ27),"",INDEX(INDIRECT($AX$3),SUM($AZ$4:$AZ27)))</f>
        <v/>
      </c>
      <c r="BB27" s="541" t="e">
        <f ca="1">MATCH(TRUE,OFFSET(INDIRECT(INDEX(INDIRECT(CT_APtoANT!$A$5),MATCH(SelectionTables!$H$4,INDIRECT(CT_APtoANT!$G$2),0),0)),0,SUM($BB$4:$BB26),1,ProductTable!$H$2-SUM($BB$4:$BB26)),0)</f>
        <v>#REF!</v>
      </c>
      <c r="BC27" s="541" t="e">
        <f ca="1">INDEX(INDIRECT(CT_APtoANT!$G$3),1,SUM($BB$4:$BB27))</f>
        <v>#REF!</v>
      </c>
      <c r="BD27" s="541" t="b">
        <f t="shared" ca="1" si="2"/>
        <v>0</v>
      </c>
      <c r="BE27" s="541" t="e">
        <f ca="1">MATCH(TRUE,OFFSET(INDIRECT($BD$3),SUM($BE$4:$BE26),0,ProductTable!$H$2-SUM($BE$4:$BE26),1),0)</f>
        <v>#REF!</v>
      </c>
      <c r="BF27" s="541" t="str">
        <f ca="1">IF(ISERROR($BE27),"",INDEX(INDIRECT($BA$3),SUM($BE$4:$BE27)))</f>
        <v/>
      </c>
      <c r="BH27" s="541" t="e">
        <f ca="1">MATCH(TRUE,OFFSET(INDIRECT(INDEX(INDIRECT(CT_APtoC1!$A$5),MATCH(SelectionTables!$H$4,INDIRECT(CT_APtoC1!$G$2),0),0)),0,SUM($BH$4:$BH26),1,ProductTable!$AG$2-SUM($BH$4:$BH26)),0)</f>
        <v>#REF!</v>
      </c>
      <c r="BI27" s="541" t="e">
        <f ca="1">INDEX(INDIRECT(CT_APtoC1!$G$3),1,SUM($BH$4:$BH27))</f>
        <v>#REF!</v>
      </c>
      <c r="BJ27" s="541" t="b">
        <f ca="1">IF(ISERROR(MATCH(BI27,INDIRECT(ProductTable!$AI$4),0)),FALSE,TRUE)</f>
        <v>0</v>
      </c>
      <c r="BK27" s="541" t="e">
        <f ca="1">MATCH(TRUE,OFFSET(INDIRECT($BJ$3),SUM($BK$4:$BK26),0,ProductTable!$AG$2-SUM($BK$4:$BK26),1),0)</f>
        <v>#N/A</v>
      </c>
      <c r="BL27" s="541" t="str">
        <f ca="1">IF(ISERROR($BK27),"",INDEX(INDIRECT($BI$3),SUM($BK$4:$BK27)))</f>
        <v/>
      </c>
    </row>
    <row r="28" spans="2:64" x14ac:dyDescent="0.25">
      <c r="B28" s="134" t="e">
        <f ca="1">MATCH(TRUE,OFFSET(INDIRECT(INDEX(INDIRECT(CT_APtoWLAN!$A$5),MATCH(SelectionTables!$H$4,INDIRECT(CT_APtoWLAN!$G$2),0),0)),0,SUM($B$4:$B27),1,ProductTable!$W$2-SUM($B$4:$B27)),0)</f>
        <v>#N/A</v>
      </c>
      <c r="C28" s="134" t="e">
        <f ca="1">INDEX(INDIRECT(CT_APtoWLAN!$G$3),1,SUM($B$4:$B28))</f>
        <v>#N/A</v>
      </c>
      <c r="D28" s="134" t="b">
        <f ca="1">IF(ISERROR(MATCH(C28,INDIRECT(ProductTable!$Y$4),0)),FALSE,TRUE)</f>
        <v>0</v>
      </c>
      <c r="E28" s="134" t="e">
        <f ca="1">MATCH(TRUE,OFFSET(INDIRECT($D$3),SUM($E$4:$E27),0,ProductTable!$W$2-SUM($E$4:$E27),1),0)</f>
        <v>#N/A</v>
      </c>
      <c r="F28" s="184" t="str">
        <f ca="1">IF(ISERROR($E28),"",INDEX(INDIRECT($C$3),SUM($E$4:$E28)))</f>
        <v/>
      </c>
      <c r="H28" s="134" t="e">
        <f ca="1">MATCH(TRUE,OFFSET(INDIRECT(INDEX(INDIRECT(CT_APtoSTA!$A$5),MATCH(SelectionTables!$H$4,INDIRECT(CT_APtoSTA!$G$2),0),0)),0,SUM($H$4:$H27),1,ProductTable!$AB$2-SUM($H$4:$H27)),0)</f>
        <v>#REF!</v>
      </c>
      <c r="I28" s="248" t="e">
        <f ca="1">INDEX(INDIRECT(CT_APtoSTA!$G$3),1,SUM($H$4:$H28))</f>
        <v>#REF!</v>
      </c>
      <c r="J28" s="134" t="e">
        <f ca="1">MATCH(TRUE,OFFSET(INDIRECT(INDEX(INDIRECT(CT_STAtoWLAN!$B$4),0,MATCH(SelectionTables!$N$4,INDIRECT(CT_STAtoWLAN!$G$3),0))),SUM($J$4:$J27),0,ProductTable!$AB$2-SUM($J$4:$J27)),0)</f>
        <v>#REF!</v>
      </c>
      <c r="K28" s="248" t="str">
        <f ca="1">IF(ISERROR($J28),"",INDEX(INDIRECT(CT_STAtoWLAN!$G$2),SUM($J$4:$J28)))</f>
        <v/>
      </c>
      <c r="L28" s="184" t="b">
        <f t="shared" ca="1" si="3"/>
        <v>0</v>
      </c>
      <c r="M28" s="184" t="e">
        <f ca="1">MATCH(TRUE,OFFSET(INDIRECT($L$3),SUM($M$4:$M27),0),0)</f>
        <v>#N/A</v>
      </c>
      <c r="N28" s="251" t="str">
        <f ca="1">IF(ISERROR(M28),"",INDEX(INDIRECT($I$3),SUM($M$4:$M28)))</f>
        <v/>
      </c>
      <c r="O28" s="184" t="b">
        <f ca="1">IF(N28="",FALSE,IF(ISERROR(MATCH(N28,INDIRECT(ProductTable!$AD$4),0)),FALSE,TRUE))</f>
        <v>0</v>
      </c>
      <c r="P28" s="184" t="e">
        <f ca="1">MATCH(TRUE,OFFSET(INDIRECT($O$3),SUM($P$4:$P27),0),0)</f>
        <v>#N/A</v>
      </c>
      <c r="Q28" s="184" t="str">
        <f ca="1">IF(ISERROR(P28),"",INDEX(INDIRECT($N$3),SUM($P$4:$P28)))</f>
        <v/>
      </c>
      <c r="S28" s="134" t="e">
        <f ca="1">MATCH(TRUE,OFFSET(INDIRECT(INDEX(INDIRECT(CT_STAtoANT!$A$5),MATCH(SelectionTables!$G$4,INDIRECT(CT_STAtoANT!$G$2),0),0)),0,SUM($S$4:$S27),1,ProductTable!$H$2-SUM($S$4:$S27)),0)</f>
        <v>#REF!</v>
      </c>
      <c r="T28" s="184" t="e">
        <f ca="1">INDEX(INDIRECT(CT_STAtoANT!$G$3),1,SUM($S$4:$S28))</f>
        <v>#REF!</v>
      </c>
      <c r="U28" s="184" t="b">
        <f ca="1">IF(ISERROR(MATCH(T28,INDIRECT(ProductTable!$J$4),0)),FALSE,TRUE)</f>
        <v>0</v>
      </c>
      <c r="V28" s="184" t="e">
        <f ca="1">MATCH(TRUE,OFFSET(INDIRECT($U$3),SUM($V$4:$V27),0,ProductTable!$H$2-SUM($V$4:$V27),1),0)</f>
        <v>#REF!</v>
      </c>
      <c r="W28" s="184" t="str">
        <f ca="1">IF(ISERROR($V28),"",INDEX(INDIRECT($T$3),SUM($V$4:$V28)))</f>
        <v/>
      </c>
      <c r="Y28" s="184" t="e">
        <f ca="1">MATCH(TRUE,OFFSET(INDIRECT(INDEX(INDIRECT(CT_APtoC1!$A$5),MATCH(SelectionTables!$H$4,INDIRECT(CT_APtoC1!$G$2),0),0)),0,SUM($Y$4:$Y27),1,ProductTable!$C$2-SUM($Y$4:$Y27)),0)</f>
        <v>#REF!</v>
      </c>
      <c r="Z28" s="251" t="e">
        <f ca="1">INDEX(INDIRECT(CT_APtoC1!$G$3),1,SUM($Y$4:$Y28))</f>
        <v>#REF!</v>
      </c>
      <c r="AA28" s="184" t="e">
        <f ca="1">MATCH(TRUE,OFFSET(INDIRECT(INDEX(INDIRECT(CT_C1toANT!$B$4),0,MATCH(SelectionTables!$J$4,INDIRECT(CT_C1toANT!$G$3),0))),SUM(AA$4:AA27),0,ProductTable!$M$2-SUM(AA$4:AA27)),0)</f>
        <v>#REF!</v>
      </c>
      <c r="AB28" s="251" t="str">
        <f ca="1">IF(ISERROR(AA28),"",INDEX(INDIRECT(CT_C1toANT!$G$2),SUM(AA$4:AA28)))</f>
        <v/>
      </c>
      <c r="AC28" s="184" t="b">
        <f t="shared" ca="1" si="0"/>
        <v>0</v>
      </c>
      <c r="AD28" s="184" t="e">
        <f ca="1">MATCH(TRUE,OFFSET(INDIRECT($AC$3),SUM($AD$4:$AD27),0),0)</f>
        <v>#N/A</v>
      </c>
      <c r="AE28" s="184" t="e">
        <f ca="1">INDEX(INDIRECT($Z$3),SUM($AD$4:$AD28))</f>
        <v>#N/A</v>
      </c>
      <c r="AF28" s="184" t="b">
        <f ca="1">IF(ISERROR(MATCH(AE28,INDIRECT(ProductTable!$O$4),0)),FALSE,TRUE)</f>
        <v>0</v>
      </c>
      <c r="AG28" s="184" t="e">
        <f ca="1">MATCH(TRUE,OFFSET(INDIRECT($AF$3),SUM($AG$4:$AG27),0),0)</f>
        <v>#N/A</v>
      </c>
      <c r="AH28" s="184" t="str">
        <f ca="1">IF(ISERROR(AG28),"",INDEX(INDIRECT($AE$3),SUM($AG$4:$AG28)))</f>
        <v/>
      </c>
      <c r="AJ28" s="184" t="e">
        <f ca="1">MATCH(TRUE,OFFSET(INDIRECT(INDEX(INDIRECT(CT_SAtoC1!$A$5),MATCH(SelectionTables!$K$4,INDIRECT(CT_SAtoC1!$G$2),0),0)),0,SUM($AJ$4:$AJ27),1,ProductTable!$C$2-SUM($AJ$4:$AJ27)),0)</f>
        <v>#REF!</v>
      </c>
      <c r="AK28" s="251" t="e">
        <f ca="1">INDEX(INDIRECT(CT_SAtoC1!$G$3),1,SUM($AJ$4:$AJ28))</f>
        <v>#REF!</v>
      </c>
      <c r="AL28" s="184" t="e">
        <f ca="1">MATCH(TRUE,OFFSET(INDIRECT(INDEX(INDIRECT(CT_C1toANT!$B$4),0,MATCH(SelectionTables!$J$4,INDIRECT(CT_C1toANT!$G$3),0))),SUM(AL$4:AL27),0,ProductTable!$M$2-SUM(AL$4:AL27)),0)</f>
        <v>#REF!</v>
      </c>
      <c r="AM28" s="251" t="str">
        <f ca="1">IF(ISERROR(AL28),"",INDEX(INDIRECT(CT_C1toANT!$G$2),SUM(AL$4:AL28)))</f>
        <v/>
      </c>
      <c r="AN28" s="184" t="b">
        <f t="shared" ca="1" si="1"/>
        <v>0</v>
      </c>
      <c r="AO28" s="184" t="e">
        <f ca="1">MATCH(TRUE,OFFSET(INDIRECT(AN$3),SUM(AO$4:AO27),0),0)</f>
        <v>#N/A</v>
      </c>
      <c r="AP28" s="184" t="e">
        <f ca="1">INDEX(INDIRECT(AK$3),SUM(AO$4:AO28))</f>
        <v>#N/A</v>
      </c>
      <c r="AQ28" s="184" t="b">
        <f ca="1">IF(ISERROR(MATCH(AP28,INDIRECT(ProductTable!$AI$4),0)),FALSE,TRUE)</f>
        <v>0</v>
      </c>
      <c r="AR28" s="184" t="e">
        <f ca="1">MATCH(TRUE,OFFSET(INDIRECT($AQ$3),SUM($AR$4:$AR27),0),0)</f>
        <v>#N/A</v>
      </c>
      <c r="AS28" s="184" t="str">
        <f ca="1">IF(ISERROR(AR28),"",INDEX(INDIRECT(AP$3),SUM(AR$4:AR28)))</f>
        <v/>
      </c>
      <c r="AU28" s="184">
        <f ca="1">IF(OR(EXACT(SelectionTables!$I$4,ProductTable!$L$7),EXACT(SelectionTables!$I$4,"")),"",ProductTable!T31)</f>
        <v>0</v>
      </c>
      <c r="AW28" s="540" t="e">
        <f ca="1">MATCH(TRUE,OFFSET(INDIRECT(INDEX(INDIRECT(CT_STAtoANT!$A$5),MATCH(SelectionTables!$G$4,INDIRECT(CT_STAtoANT!$G$2),0),0)),0,SUM($AW$4:$AW27),1,ProductTable!$H$2-SUM($AW$4:$AW27)),0)</f>
        <v>#REF!</v>
      </c>
      <c r="AX28" s="541" t="e">
        <f ca="1">INDEX(INDIRECT(CT_STAtoANT!$G$3),1,SUM($AW$4:$AW28))</f>
        <v>#REF!</v>
      </c>
      <c r="AY28" s="541" t="b">
        <f ca="1">IF(ISERROR(MATCH(AX28,INDIRECT(ProductTable!$J$4),0)),FALSE,TRUE)</f>
        <v>0</v>
      </c>
      <c r="AZ28" s="541" t="e">
        <f ca="1">MATCH(TRUE,OFFSET(INDIRECT($AY$3),SUM($AZ$4:$AZ27),0,ProductTable!$H$2-SUM($AZ$4:$AZ27),1),0)</f>
        <v>#REF!</v>
      </c>
      <c r="BA28" s="541" t="str">
        <f ca="1">IF(ISERROR($AZ28),"",INDEX(INDIRECT($AX$3),SUM($AZ$4:$AZ28)))</f>
        <v/>
      </c>
      <c r="BB28" s="541" t="e">
        <f ca="1">MATCH(TRUE,OFFSET(INDIRECT(INDEX(INDIRECT(CT_APtoANT!$A$5),MATCH(SelectionTables!$H$4,INDIRECT(CT_APtoANT!$G$2),0),0)),0,SUM($BB$4:$BB27),1,ProductTable!$H$2-SUM($BB$4:$BB27)),0)</f>
        <v>#REF!</v>
      </c>
      <c r="BC28" s="541" t="e">
        <f ca="1">INDEX(INDIRECT(CT_APtoANT!$G$3),1,SUM($BB$4:$BB28))</f>
        <v>#REF!</v>
      </c>
      <c r="BD28" s="541" t="b">
        <f t="shared" ca="1" si="2"/>
        <v>0</v>
      </c>
      <c r="BE28" s="541" t="e">
        <f ca="1">MATCH(TRUE,OFFSET(INDIRECT($BD$3),SUM($BE$4:$BE27),0,ProductTable!$H$2-SUM($BE$4:$BE27),1),0)</f>
        <v>#REF!</v>
      </c>
      <c r="BF28" s="541" t="str">
        <f ca="1">IF(ISERROR($BE28),"",INDEX(INDIRECT($BA$3),SUM($BE$4:$BE28)))</f>
        <v/>
      </c>
      <c r="BH28" s="541" t="e">
        <f ca="1">MATCH(TRUE,OFFSET(INDIRECT(INDEX(INDIRECT(CT_APtoC1!$A$5),MATCH(SelectionTables!$H$4,INDIRECT(CT_APtoC1!$G$2),0),0)),0,SUM($BH$4:$BH27),1,ProductTable!$AG$2-SUM($BH$4:$BH27)),0)</f>
        <v>#REF!</v>
      </c>
      <c r="BI28" s="541" t="e">
        <f ca="1">INDEX(INDIRECT(CT_APtoC1!$G$3),1,SUM($BH$4:$BH28))</f>
        <v>#REF!</v>
      </c>
      <c r="BJ28" s="541" t="b">
        <f ca="1">IF(ISERROR(MATCH(BI28,INDIRECT(ProductTable!$AI$4),0)),FALSE,TRUE)</f>
        <v>0</v>
      </c>
      <c r="BK28" s="541" t="e">
        <f ca="1">MATCH(TRUE,OFFSET(INDIRECT($BJ$3),SUM($BK$4:$BK27),0,ProductTable!$AG$2-SUM($BK$4:$BK27),1),0)</f>
        <v>#N/A</v>
      </c>
      <c r="BL28" s="541" t="str">
        <f ca="1">IF(ISERROR($BK28),"",INDEX(INDIRECT($BI$3),SUM($BK$4:$BK28)))</f>
        <v/>
      </c>
    </row>
    <row r="29" spans="2:64" x14ac:dyDescent="0.25">
      <c r="B29" s="134" t="e">
        <f ca="1">MATCH(TRUE,OFFSET(INDIRECT(INDEX(INDIRECT(CT_APtoWLAN!$A$5),MATCH(SelectionTables!$H$4,INDIRECT(CT_APtoWLAN!$G$2),0),0)),0,SUM($B$4:$B28),1,ProductTable!$W$2-SUM($B$4:$B28)),0)</f>
        <v>#N/A</v>
      </c>
      <c r="C29" s="134" t="e">
        <f ca="1">INDEX(INDIRECT(CT_APtoWLAN!$G$3),1,SUM($B$4:$B29))</f>
        <v>#N/A</v>
      </c>
      <c r="D29" s="134" t="b">
        <f ca="1">IF(ISERROR(MATCH(C29,INDIRECT(ProductTable!$Y$4),0)),FALSE,TRUE)</f>
        <v>0</v>
      </c>
      <c r="E29" s="134" t="e">
        <f ca="1">MATCH(TRUE,OFFSET(INDIRECT($D$3),SUM($E$4:$E28),0,ProductTable!$W$2-SUM($E$4:$E28),1),0)</f>
        <v>#N/A</v>
      </c>
      <c r="F29" s="184" t="str">
        <f ca="1">IF(ISERROR($E29),"",INDEX(INDIRECT($C$3),SUM($E$4:$E29)))</f>
        <v/>
      </c>
      <c r="H29" s="134" t="e">
        <f ca="1">MATCH(TRUE,OFFSET(INDIRECT(INDEX(INDIRECT(CT_APtoSTA!$A$5),MATCH(SelectionTables!$H$4,INDIRECT(CT_APtoSTA!$G$2),0),0)),0,SUM($H$4:$H28),1,ProductTable!$AB$2-SUM($H$4:$H28)),0)</f>
        <v>#REF!</v>
      </c>
      <c r="I29" s="248" t="e">
        <f ca="1">INDEX(INDIRECT(CT_APtoSTA!$G$3),1,SUM($H$4:$H29))</f>
        <v>#REF!</v>
      </c>
      <c r="J29" s="134" t="e">
        <f ca="1">MATCH(TRUE,OFFSET(INDIRECT(INDEX(INDIRECT(CT_STAtoWLAN!$B$4),0,MATCH(SelectionTables!$N$4,INDIRECT(CT_STAtoWLAN!$G$3),0))),SUM($J$4:$J28),0,ProductTable!$AB$2-SUM($J$4:$J28)),0)</f>
        <v>#REF!</v>
      </c>
      <c r="K29" s="248" t="str">
        <f ca="1">IF(ISERROR($J29),"",INDEX(INDIRECT(CT_STAtoWLAN!$G$2),SUM($J$4:$J29)))</f>
        <v/>
      </c>
      <c r="L29" s="184" t="b">
        <f t="shared" ca="1" si="3"/>
        <v>0</v>
      </c>
      <c r="M29" s="184" t="e">
        <f ca="1">MATCH(TRUE,OFFSET(INDIRECT($L$3),SUM($M$4:$M28),0),0)</f>
        <v>#N/A</v>
      </c>
      <c r="N29" s="251" t="str">
        <f ca="1">IF(ISERROR(M29),"",INDEX(INDIRECT($I$3),SUM($M$4:$M29)))</f>
        <v/>
      </c>
      <c r="O29" s="184" t="b">
        <f ca="1">IF(N29="",FALSE,IF(ISERROR(MATCH(N29,INDIRECT(ProductTable!$AD$4),0)),FALSE,TRUE))</f>
        <v>0</v>
      </c>
      <c r="P29" s="184" t="e">
        <f ca="1">MATCH(TRUE,OFFSET(INDIRECT($O$3),SUM($P$4:$P28),0),0)</f>
        <v>#N/A</v>
      </c>
      <c r="Q29" s="184" t="str">
        <f ca="1">IF(ISERROR(P29),"",INDEX(INDIRECT($N$3),SUM($P$4:$P29)))</f>
        <v/>
      </c>
      <c r="S29" s="134" t="e">
        <f ca="1">MATCH(TRUE,OFFSET(INDIRECT(INDEX(INDIRECT(CT_STAtoANT!$A$5),MATCH(SelectionTables!$G$4,INDIRECT(CT_STAtoANT!$G$2),0),0)),0,SUM($S$4:$S28),1,ProductTable!$H$2-SUM($S$4:$S28)),0)</f>
        <v>#REF!</v>
      </c>
      <c r="T29" s="184" t="e">
        <f ca="1">INDEX(INDIRECT(CT_STAtoANT!$G$3),1,SUM($S$4:$S29))</f>
        <v>#REF!</v>
      </c>
      <c r="U29" s="184" t="b">
        <f ca="1">IF(ISERROR(MATCH(T29,INDIRECT(ProductTable!$J$4),0)),FALSE,TRUE)</f>
        <v>0</v>
      </c>
      <c r="V29" s="184" t="e">
        <f ca="1">MATCH(TRUE,OFFSET(INDIRECT($U$3),SUM($V$4:$V28),0,ProductTable!$H$2-SUM($V$4:$V28),1),0)</f>
        <v>#REF!</v>
      </c>
      <c r="W29" s="184" t="str">
        <f ca="1">IF(ISERROR($V29),"",INDEX(INDIRECT($T$3),SUM($V$4:$V29)))</f>
        <v/>
      </c>
      <c r="Y29" s="184" t="e">
        <f ca="1">MATCH(TRUE,OFFSET(INDIRECT(INDEX(INDIRECT(CT_APtoC1!$A$5),MATCH(SelectionTables!$H$4,INDIRECT(CT_APtoC1!$G$2),0),0)),0,SUM($Y$4:$Y28),1,ProductTable!$C$2-SUM($Y$4:$Y28)),0)</f>
        <v>#REF!</v>
      </c>
      <c r="Z29" s="251" t="e">
        <f ca="1">INDEX(INDIRECT(CT_APtoC1!$G$3),1,SUM($Y$4:$Y29))</f>
        <v>#REF!</v>
      </c>
      <c r="AA29" s="184" t="e">
        <f ca="1">MATCH(TRUE,OFFSET(INDIRECT(INDEX(INDIRECT(CT_C1toANT!$B$4),0,MATCH(SelectionTables!$J$4,INDIRECT(CT_C1toANT!$G$3),0))),SUM(AA$4:AA28),0,ProductTable!$M$2-SUM(AA$4:AA28)),0)</f>
        <v>#REF!</v>
      </c>
      <c r="AB29" s="251" t="str">
        <f ca="1">IF(ISERROR(AA29),"",INDEX(INDIRECT(CT_C1toANT!$G$2),SUM(AA$4:AA29)))</f>
        <v/>
      </c>
      <c r="AC29" s="184" t="b">
        <f t="shared" ca="1" si="0"/>
        <v>0</v>
      </c>
      <c r="AD29" s="184" t="e">
        <f ca="1">MATCH(TRUE,OFFSET(INDIRECT($AC$3),SUM($AD$4:$AD28),0),0)</f>
        <v>#N/A</v>
      </c>
      <c r="AE29" s="184" t="e">
        <f ca="1">INDEX(INDIRECT($Z$3),SUM($AD$4:$AD29))</f>
        <v>#N/A</v>
      </c>
      <c r="AF29" s="184" t="b">
        <f ca="1">IF(ISERROR(MATCH(AE29,INDIRECT(ProductTable!$O$4),0)),FALSE,TRUE)</f>
        <v>0</v>
      </c>
      <c r="AG29" s="184" t="e">
        <f ca="1">MATCH(TRUE,OFFSET(INDIRECT($AF$3),SUM($AG$4:$AG28),0),0)</f>
        <v>#N/A</v>
      </c>
      <c r="AH29" s="184" t="str">
        <f ca="1">IF(ISERROR(AG29),"",INDEX(INDIRECT($AE$3),SUM($AG$4:$AG29)))</f>
        <v/>
      </c>
      <c r="AJ29" s="184" t="e">
        <f ca="1">MATCH(TRUE,OFFSET(INDIRECT(INDEX(INDIRECT(CT_SAtoC1!$A$5),MATCH(SelectionTables!$K$4,INDIRECT(CT_SAtoC1!$G$2),0),0)),0,SUM($AJ$4:$AJ28),1,ProductTable!$C$2-SUM($AJ$4:$AJ28)),0)</f>
        <v>#REF!</v>
      </c>
      <c r="AK29" s="251" t="e">
        <f ca="1">INDEX(INDIRECT(CT_SAtoC1!$G$3),1,SUM($AJ$4:$AJ29))</f>
        <v>#REF!</v>
      </c>
      <c r="AL29" s="184" t="e">
        <f ca="1">MATCH(TRUE,OFFSET(INDIRECT(INDEX(INDIRECT(CT_C1toANT!$B$4),0,MATCH(SelectionTables!$J$4,INDIRECT(CT_C1toANT!$G$3),0))),SUM(AL$4:AL28),0,ProductTable!$M$2-SUM(AL$4:AL28)),0)</f>
        <v>#REF!</v>
      </c>
      <c r="AM29" s="251" t="str">
        <f ca="1">IF(ISERROR(AL29),"",INDEX(INDIRECT(CT_C1toANT!$G$2),SUM(AL$4:AL29)))</f>
        <v/>
      </c>
      <c r="AN29" s="184" t="b">
        <f t="shared" ca="1" si="1"/>
        <v>0</v>
      </c>
      <c r="AO29" s="184" t="e">
        <f ca="1">MATCH(TRUE,OFFSET(INDIRECT(AN$3),SUM(AO$4:AO28),0),0)</f>
        <v>#N/A</v>
      </c>
      <c r="AP29" s="184" t="e">
        <f ca="1">INDEX(INDIRECT(AK$3),SUM(AO$4:AO29))</f>
        <v>#N/A</v>
      </c>
      <c r="AQ29" s="184" t="b">
        <f ca="1">IF(ISERROR(MATCH(AP29,INDIRECT(ProductTable!$AI$4),0)),FALSE,TRUE)</f>
        <v>0</v>
      </c>
      <c r="AR29" s="184" t="e">
        <f ca="1">MATCH(TRUE,OFFSET(INDIRECT($AQ$3),SUM($AR$4:$AR28),0),0)</f>
        <v>#N/A</v>
      </c>
      <c r="AS29" s="184" t="str">
        <f ca="1">IF(ISERROR(AR29),"",INDEX(INDIRECT(AP$3),SUM(AR$4:AR29)))</f>
        <v/>
      </c>
      <c r="AU29" s="184">
        <f ca="1">IF(OR(EXACT(SelectionTables!$I$4,ProductTable!$L$7),EXACT(SelectionTables!$I$4,"")),"",ProductTable!T32)</f>
        <v>0</v>
      </c>
      <c r="AW29" s="540" t="e">
        <f ca="1">MATCH(TRUE,OFFSET(INDIRECT(INDEX(INDIRECT(CT_STAtoANT!$A$5),MATCH(SelectionTables!$G$4,INDIRECT(CT_STAtoANT!$G$2),0),0)),0,SUM($AW$4:$AW28),1,ProductTable!$H$2-SUM($AW$4:$AW28)),0)</f>
        <v>#REF!</v>
      </c>
      <c r="AX29" s="541" t="e">
        <f ca="1">INDEX(INDIRECT(CT_STAtoANT!$G$3),1,SUM($AW$4:$AW29))</f>
        <v>#REF!</v>
      </c>
      <c r="AY29" s="541" t="b">
        <f ca="1">IF(ISERROR(MATCH(AX29,INDIRECT(ProductTable!$J$4),0)),FALSE,TRUE)</f>
        <v>0</v>
      </c>
      <c r="AZ29" s="541" t="e">
        <f ca="1">MATCH(TRUE,OFFSET(INDIRECT($AY$3),SUM($AZ$4:$AZ28),0,ProductTable!$H$2-SUM($AZ$4:$AZ28),1),0)</f>
        <v>#REF!</v>
      </c>
      <c r="BA29" s="541" t="str">
        <f ca="1">IF(ISERROR($AZ29),"",INDEX(INDIRECT($AX$3),SUM($AZ$4:$AZ29)))</f>
        <v/>
      </c>
      <c r="BB29" s="541" t="e">
        <f ca="1">MATCH(TRUE,OFFSET(INDIRECT(INDEX(INDIRECT(CT_APtoANT!$A$5),MATCH(SelectionTables!$H$4,INDIRECT(CT_APtoANT!$G$2),0),0)),0,SUM($BB$4:$BB28),1,ProductTable!$H$2-SUM($BB$4:$BB28)),0)</f>
        <v>#REF!</v>
      </c>
      <c r="BC29" s="541" t="e">
        <f ca="1">INDEX(INDIRECT(CT_APtoANT!$G$3),1,SUM($BB$4:$BB29))</f>
        <v>#REF!</v>
      </c>
      <c r="BD29" s="541" t="b">
        <f t="shared" ca="1" si="2"/>
        <v>0</v>
      </c>
      <c r="BE29" s="541" t="e">
        <f ca="1">MATCH(TRUE,OFFSET(INDIRECT($BD$3),SUM($BE$4:$BE28),0,ProductTable!$H$2-SUM($BE$4:$BE28),1),0)</f>
        <v>#REF!</v>
      </c>
      <c r="BF29" s="541" t="str">
        <f ca="1">IF(ISERROR($BE29),"",INDEX(INDIRECT($BA$3),SUM($BE$4:$BE29)))</f>
        <v/>
      </c>
      <c r="BH29" s="541" t="e">
        <f ca="1">MATCH(TRUE,OFFSET(INDIRECT(INDEX(INDIRECT(CT_APtoC1!$A$5),MATCH(SelectionTables!$H$4,INDIRECT(CT_APtoC1!$G$2),0),0)),0,SUM($BH$4:$BH28),1,ProductTable!$AG$2-SUM($BH$4:$BH28)),0)</f>
        <v>#REF!</v>
      </c>
      <c r="BI29" s="541" t="e">
        <f ca="1">INDEX(INDIRECT(CT_APtoC1!$G$3),1,SUM($BH$4:$BH29))</f>
        <v>#REF!</v>
      </c>
      <c r="BJ29" s="541" t="b">
        <f ca="1">IF(ISERROR(MATCH(BI29,INDIRECT(ProductTable!$AI$4),0)),FALSE,TRUE)</f>
        <v>0</v>
      </c>
      <c r="BK29" s="541" t="e">
        <f ca="1">MATCH(TRUE,OFFSET(INDIRECT($BJ$3),SUM($BK$4:$BK28),0,ProductTable!$AG$2-SUM($BK$4:$BK28),1),0)</f>
        <v>#N/A</v>
      </c>
      <c r="BL29" s="541" t="str">
        <f ca="1">IF(ISERROR($BK29),"",INDEX(INDIRECT($BI$3),SUM($BK$4:$BK29)))</f>
        <v/>
      </c>
    </row>
    <row r="30" spans="2:64" x14ac:dyDescent="0.25">
      <c r="B30" s="134" t="e">
        <f ca="1">MATCH(TRUE,OFFSET(INDIRECT(INDEX(INDIRECT(CT_APtoWLAN!$A$5),MATCH(SelectionTables!$H$4,INDIRECT(CT_APtoWLAN!$G$2),0),0)),0,SUM($B$4:$B29),1,ProductTable!$W$2-SUM($B$4:$B29)),0)</f>
        <v>#N/A</v>
      </c>
      <c r="C30" s="134" t="e">
        <f ca="1">INDEX(INDIRECT(CT_APtoWLAN!$G$3),1,SUM($B$4:$B30))</f>
        <v>#N/A</v>
      </c>
      <c r="D30" s="134" t="b">
        <f ca="1">IF(ISERROR(MATCH(C30,INDIRECT(ProductTable!$Y$4),0)),FALSE,TRUE)</f>
        <v>0</v>
      </c>
      <c r="E30" s="134" t="e">
        <f ca="1">MATCH(TRUE,OFFSET(INDIRECT($D$3),SUM($E$4:$E29),0,ProductTable!$W$2-SUM($E$4:$E29),1),0)</f>
        <v>#N/A</v>
      </c>
      <c r="F30" s="184" t="str">
        <f ca="1">IF(ISERROR($E30),"",INDEX(INDIRECT($C$3),SUM($E$4:$E30)))</f>
        <v/>
      </c>
      <c r="H30" s="134" t="e">
        <f ca="1">MATCH(TRUE,OFFSET(INDIRECT(INDEX(INDIRECT(CT_APtoSTA!$A$5),MATCH(SelectionTables!$H$4,INDIRECT(CT_APtoSTA!$G$2),0),0)),0,SUM($H$4:$H29),1,ProductTable!$AB$2-SUM($H$4:$H29)),0)</f>
        <v>#REF!</v>
      </c>
      <c r="I30" s="248" t="e">
        <f ca="1">INDEX(INDIRECT(CT_APtoSTA!$G$3),1,SUM($H$4:$H30))</f>
        <v>#REF!</v>
      </c>
      <c r="J30" s="134" t="e">
        <f ca="1">MATCH(TRUE,OFFSET(INDIRECT(INDEX(INDIRECT(CT_STAtoWLAN!$B$4),0,MATCH(SelectionTables!$N$4,INDIRECT(CT_STAtoWLAN!$G$3),0))),SUM($J$4:$J29),0,ProductTable!$AB$2-SUM($J$4:$J29)),0)</f>
        <v>#REF!</v>
      </c>
      <c r="K30" s="248" t="str">
        <f ca="1">IF(ISERROR($J30),"",INDEX(INDIRECT(CT_STAtoWLAN!$G$2),SUM($J$4:$J30)))</f>
        <v/>
      </c>
      <c r="L30" s="184" t="b">
        <f t="shared" ca="1" si="3"/>
        <v>0</v>
      </c>
      <c r="M30" s="184" t="e">
        <f ca="1">MATCH(TRUE,OFFSET(INDIRECT($L$3),SUM($M$4:$M29),0),0)</f>
        <v>#N/A</v>
      </c>
      <c r="N30" s="251" t="str">
        <f ca="1">IF(ISERROR(M30),"",INDEX(INDIRECT($I$3),SUM($M$4:$M30)))</f>
        <v/>
      </c>
      <c r="O30" s="184" t="b">
        <f ca="1">IF(N30="",FALSE,IF(ISERROR(MATCH(N30,INDIRECT(ProductTable!$AD$4),0)),FALSE,TRUE))</f>
        <v>0</v>
      </c>
      <c r="P30" s="184" t="e">
        <f ca="1">MATCH(TRUE,OFFSET(INDIRECT($O$3),SUM($P$4:$P29),0),0)</f>
        <v>#N/A</v>
      </c>
      <c r="Q30" s="184" t="str">
        <f ca="1">IF(ISERROR(P30),"",INDEX(INDIRECT($N$3),SUM($P$4:$P30)))</f>
        <v/>
      </c>
      <c r="S30" s="134" t="e">
        <f ca="1">MATCH(TRUE,OFFSET(INDIRECT(INDEX(INDIRECT(CT_STAtoANT!$A$5),MATCH(SelectionTables!$G$4,INDIRECT(CT_STAtoANT!$G$2),0),0)),0,SUM($S$4:$S29),1,ProductTable!$H$2-SUM($S$4:$S29)),0)</f>
        <v>#REF!</v>
      </c>
      <c r="T30" s="184" t="e">
        <f ca="1">INDEX(INDIRECT(CT_STAtoANT!$G$3),1,SUM($S$4:$S30))</f>
        <v>#REF!</v>
      </c>
      <c r="U30" s="184" t="b">
        <f ca="1">IF(ISERROR(MATCH(T30,INDIRECT(ProductTable!$J$4),0)),FALSE,TRUE)</f>
        <v>0</v>
      </c>
      <c r="V30" s="184" t="e">
        <f ca="1">MATCH(TRUE,OFFSET(INDIRECT($U$3),SUM($V$4:$V29),0,ProductTable!$H$2-SUM($V$4:$V29),1),0)</f>
        <v>#REF!</v>
      </c>
      <c r="W30" s="184" t="str">
        <f ca="1">IF(ISERROR($V30),"",INDEX(INDIRECT($T$3),SUM($V$4:$V30)))</f>
        <v/>
      </c>
      <c r="Y30" s="184" t="e">
        <f ca="1">MATCH(TRUE,OFFSET(INDIRECT(INDEX(INDIRECT(CT_APtoC1!$A$5),MATCH(SelectionTables!$H$4,INDIRECT(CT_APtoC1!$G$2),0),0)),0,SUM($Y$4:$Y29),1,ProductTable!$C$2-SUM($Y$4:$Y29)),0)</f>
        <v>#REF!</v>
      </c>
      <c r="Z30" s="251" t="e">
        <f ca="1">INDEX(INDIRECT(CT_APtoC1!$G$3),1,SUM($Y$4:$Y30))</f>
        <v>#REF!</v>
      </c>
      <c r="AA30" s="184" t="e">
        <f ca="1">MATCH(TRUE,OFFSET(INDIRECT(INDEX(INDIRECT(CT_C1toANT!$B$4),0,MATCH(SelectionTables!$J$4,INDIRECT(CT_C1toANT!$G$3),0))),SUM(AA$4:AA29),0,ProductTable!$M$2-SUM(AA$4:AA29)),0)</f>
        <v>#REF!</v>
      </c>
      <c r="AB30" s="251" t="str">
        <f ca="1">IF(ISERROR(AA30),"",INDEX(INDIRECT(CT_C1toANT!$G$2),SUM(AA$4:AA30)))</f>
        <v/>
      </c>
      <c r="AC30" s="184" t="b">
        <f t="shared" ca="1" si="0"/>
        <v>0</v>
      </c>
      <c r="AD30" s="184" t="e">
        <f ca="1">MATCH(TRUE,OFFSET(INDIRECT($AC$3),SUM($AD$4:$AD29),0),0)</f>
        <v>#N/A</v>
      </c>
      <c r="AE30" s="184" t="e">
        <f ca="1">INDEX(INDIRECT($Z$3),SUM($AD$4:$AD30))</f>
        <v>#N/A</v>
      </c>
      <c r="AF30" s="184" t="b">
        <f ca="1">IF(ISERROR(MATCH(AE30,INDIRECT(ProductTable!$O$4),0)),FALSE,TRUE)</f>
        <v>0</v>
      </c>
      <c r="AG30" s="184" t="e">
        <f ca="1">MATCH(TRUE,OFFSET(INDIRECT($AF$3),SUM($AG$4:$AG29),0),0)</f>
        <v>#N/A</v>
      </c>
      <c r="AH30" s="184" t="str">
        <f ca="1">IF(ISERROR(AG30),"",INDEX(INDIRECT($AE$3),SUM($AG$4:$AG30)))</f>
        <v/>
      </c>
      <c r="AJ30" s="184" t="e">
        <f ca="1">MATCH(TRUE,OFFSET(INDIRECT(INDEX(INDIRECT(CT_SAtoC1!$A$5),MATCH(SelectionTables!$K$4,INDIRECT(CT_SAtoC1!$G$2),0),0)),0,SUM($AJ$4:$AJ29),1,ProductTable!$C$2-SUM($AJ$4:$AJ29)),0)</f>
        <v>#REF!</v>
      </c>
      <c r="AK30" s="251" t="e">
        <f ca="1">INDEX(INDIRECT(CT_SAtoC1!$G$3),1,SUM($AJ$4:$AJ30))</f>
        <v>#REF!</v>
      </c>
      <c r="AL30" s="184" t="e">
        <f ca="1">MATCH(TRUE,OFFSET(INDIRECT(INDEX(INDIRECT(CT_C1toANT!$B$4),0,MATCH(SelectionTables!$J$4,INDIRECT(CT_C1toANT!$G$3),0))),SUM(AL$4:AL29),0,ProductTable!$M$2-SUM(AL$4:AL29)),0)</f>
        <v>#REF!</v>
      </c>
      <c r="AM30" s="251" t="str">
        <f ca="1">IF(ISERROR(AL30),"",INDEX(INDIRECT(CT_C1toANT!$G$2),SUM(AL$4:AL30)))</f>
        <v/>
      </c>
      <c r="AN30" s="184" t="b">
        <f t="shared" ca="1" si="1"/>
        <v>0</v>
      </c>
      <c r="AO30" s="184" t="e">
        <f ca="1">MATCH(TRUE,OFFSET(INDIRECT(AN$3),SUM(AO$4:AO29),0),0)</f>
        <v>#N/A</v>
      </c>
      <c r="AP30" s="184" t="e">
        <f ca="1">INDEX(INDIRECT(AK$3),SUM(AO$4:AO30))</f>
        <v>#N/A</v>
      </c>
      <c r="AQ30" s="184" t="b">
        <f ca="1">IF(ISERROR(MATCH(AP30,INDIRECT(ProductTable!$AI$4),0)),FALSE,TRUE)</f>
        <v>0</v>
      </c>
      <c r="AR30" s="184" t="e">
        <f ca="1">MATCH(TRUE,OFFSET(INDIRECT($AQ$3),SUM($AR$4:$AR29),0),0)</f>
        <v>#N/A</v>
      </c>
      <c r="AS30" s="184" t="str">
        <f ca="1">IF(ISERROR(AR30),"",INDEX(INDIRECT(AP$3),SUM(AR$4:AR30)))</f>
        <v/>
      </c>
      <c r="AU30" s="184">
        <f ca="1">IF(OR(EXACT(SelectionTables!$I$4,ProductTable!$L$7),EXACT(SelectionTables!$I$4,"")),"",ProductTable!T33)</f>
        <v>0</v>
      </c>
      <c r="AW30" s="540" t="e">
        <f ca="1">MATCH(TRUE,OFFSET(INDIRECT(INDEX(INDIRECT(CT_STAtoANT!$A$5),MATCH(SelectionTables!$G$4,INDIRECT(CT_STAtoANT!$G$2),0),0)),0,SUM($AW$4:$AW29),1,ProductTable!$H$2-SUM($AW$4:$AW29)),0)</f>
        <v>#REF!</v>
      </c>
      <c r="AX30" s="541" t="e">
        <f ca="1">INDEX(INDIRECT(CT_STAtoANT!$G$3),1,SUM($AW$4:$AW30))</f>
        <v>#REF!</v>
      </c>
      <c r="AY30" s="541" t="b">
        <f ca="1">IF(ISERROR(MATCH(AX30,INDIRECT(ProductTable!$J$4),0)),FALSE,TRUE)</f>
        <v>0</v>
      </c>
      <c r="AZ30" s="541" t="e">
        <f ca="1">MATCH(TRUE,OFFSET(INDIRECT($AY$3),SUM($AZ$4:$AZ29),0,ProductTable!$H$2-SUM($AZ$4:$AZ29),1),0)</f>
        <v>#REF!</v>
      </c>
      <c r="BA30" s="541" t="str">
        <f ca="1">IF(ISERROR($AZ30),"",INDEX(INDIRECT($AX$3),SUM($AZ$4:$AZ30)))</f>
        <v/>
      </c>
      <c r="BB30" s="541" t="e">
        <f ca="1">MATCH(TRUE,OFFSET(INDIRECT(INDEX(INDIRECT(CT_APtoANT!$A$5),MATCH(SelectionTables!$H$4,INDIRECT(CT_APtoANT!$G$2),0),0)),0,SUM($BB$4:$BB29),1,ProductTable!$H$2-SUM($BB$4:$BB29)),0)</f>
        <v>#REF!</v>
      </c>
      <c r="BC30" s="541" t="e">
        <f ca="1">INDEX(INDIRECT(CT_APtoANT!$G$3),1,SUM($BB$4:$BB30))</f>
        <v>#REF!</v>
      </c>
      <c r="BD30" s="541" t="b">
        <f t="shared" ca="1" si="2"/>
        <v>0</v>
      </c>
      <c r="BE30" s="541" t="e">
        <f ca="1">MATCH(TRUE,OFFSET(INDIRECT($BD$3),SUM($BE$4:$BE29),0,ProductTable!$H$2-SUM($BE$4:$BE29),1),0)</f>
        <v>#REF!</v>
      </c>
      <c r="BF30" s="541" t="str">
        <f ca="1">IF(ISERROR($BE30),"",INDEX(INDIRECT($BA$3),SUM($BE$4:$BE30)))</f>
        <v/>
      </c>
      <c r="BH30" s="541" t="e">
        <f ca="1">MATCH(TRUE,OFFSET(INDIRECT(INDEX(INDIRECT(CT_APtoC1!$A$5),MATCH(SelectionTables!$H$4,INDIRECT(CT_APtoC1!$G$2),0),0)),0,SUM($BH$4:$BH29),1,ProductTable!$AG$2-SUM($BH$4:$BH29)),0)</f>
        <v>#REF!</v>
      </c>
      <c r="BI30" s="541" t="e">
        <f ca="1">INDEX(INDIRECT(CT_APtoC1!$G$3),1,SUM($BH$4:$BH30))</f>
        <v>#REF!</v>
      </c>
      <c r="BJ30" s="541" t="b">
        <f ca="1">IF(ISERROR(MATCH(BI30,INDIRECT(ProductTable!$AI$4),0)),FALSE,TRUE)</f>
        <v>0</v>
      </c>
      <c r="BK30" s="541" t="e">
        <f ca="1">MATCH(TRUE,OFFSET(INDIRECT($BJ$3),SUM($BK$4:$BK29),0,ProductTable!$AG$2-SUM($BK$4:$BK29),1),0)</f>
        <v>#N/A</v>
      </c>
      <c r="BL30" s="541" t="str">
        <f ca="1">IF(ISERROR($BK30),"",INDEX(INDIRECT($BI$3),SUM($BK$4:$BK30)))</f>
        <v/>
      </c>
    </row>
    <row r="31" spans="2:64" x14ac:dyDescent="0.25">
      <c r="B31" s="134" t="e">
        <f ca="1">MATCH(TRUE,OFFSET(INDIRECT(INDEX(INDIRECT(CT_APtoWLAN!$A$5),MATCH(SelectionTables!$H$4,INDIRECT(CT_APtoWLAN!$G$2),0),0)),0,SUM($B$4:$B30),1,ProductTable!$W$2-SUM($B$4:$B30)),0)</f>
        <v>#N/A</v>
      </c>
      <c r="C31" s="134" t="e">
        <f ca="1">INDEX(INDIRECT(CT_APtoWLAN!$G$3),1,SUM($B$4:$B31))</f>
        <v>#N/A</v>
      </c>
      <c r="D31" s="134" t="b">
        <f ca="1">IF(ISERROR(MATCH(C31,INDIRECT(ProductTable!$Y$4),0)),FALSE,TRUE)</f>
        <v>0</v>
      </c>
      <c r="E31" s="134" t="e">
        <f ca="1">MATCH(TRUE,OFFSET(INDIRECT($D$3),SUM($E$4:$E30),0,ProductTable!$W$2-SUM($E$4:$E30),1),0)</f>
        <v>#N/A</v>
      </c>
      <c r="F31" s="184" t="str">
        <f ca="1">IF(ISERROR($E31),"",INDEX(INDIRECT($C$3),SUM($E$4:$E31)))</f>
        <v/>
      </c>
      <c r="H31" s="134" t="e">
        <f ca="1">MATCH(TRUE,OFFSET(INDIRECT(INDEX(INDIRECT(CT_APtoSTA!$A$5),MATCH(SelectionTables!$H$4,INDIRECT(CT_APtoSTA!$G$2),0),0)),0,SUM($H$4:$H30),1,ProductTable!$AB$2-SUM($H$4:$H30)),0)</f>
        <v>#REF!</v>
      </c>
      <c r="I31" s="248" t="e">
        <f ca="1">INDEX(INDIRECT(CT_APtoSTA!$G$3),1,SUM($H$4:$H31))</f>
        <v>#REF!</v>
      </c>
      <c r="J31" s="134" t="e">
        <f ca="1">MATCH(TRUE,OFFSET(INDIRECT(INDEX(INDIRECT(CT_STAtoWLAN!$B$4),0,MATCH(SelectionTables!$N$4,INDIRECT(CT_STAtoWLAN!$G$3),0))),SUM($J$4:$J30),0,ProductTable!$AB$2-SUM($J$4:$J30)),0)</f>
        <v>#REF!</v>
      </c>
      <c r="K31" s="248" t="str">
        <f ca="1">IF(ISERROR($J31),"",INDEX(INDIRECT(CT_STAtoWLAN!$G$2),SUM($J$4:$J31)))</f>
        <v/>
      </c>
      <c r="L31" s="184" t="b">
        <f t="shared" ca="1" si="3"/>
        <v>0</v>
      </c>
      <c r="M31" s="184" t="e">
        <f ca="1">MATCH(TRUE,OFFSET(INDIRECT($L$3),SUM($M$4:$M30),0),0)</f>
        <v>#N/A</v>
      </c>
      <c r="N31" s="251" t="str">
        <f ca="1">IF(ISERROR(M31),"",INDEX(INDIRECT($I$3),SUM($M$4:$M31)))</f>
        <v/>
      </c>
      <c r="O31" s="184" t="b">
        <f ca="1">IF(N31="",FALSE,IF(ISERROR(MATCH(N31,INDIRECT(ProductTable!$AD$4),0)),FALSE,TRUE))</f>
        <v>0</v>
      </c>
      <c r="P31" s="184" t="e">
        <f ca="1">MATCH(TRUE,OFFSET(INDIRECT($O$3),SUM($P$4:$P30),0),0)</f>
        <v>#N/A</v>
      </c>
      <c r="Q31" s="184" t="str">
        <f ca="1">IF(ISERROR(P31),"",INDEX(INDIRECT($N$3),SUM($P$4:$P31)))</f>
        <v/>
      </c>
      <c r="S31" s="134" t="e">
        <f ca="1">MATCH(TRUE,OFFSET(INDIRECT(INDEX(INDIRECT(CT_STAtoANT!$A$5),MATCH(SelectionTables!$G$4,INDIRECT(CT_STAtoANT!$G$2),0),0)),0,SUM($S$4:$S30),1,ProductTable!$H$2-SUM($S$4:$S30)),0)</f>
        <v>#REF!</v>
      </c>
      <c r="T31" s="184" t="e">
        <f ca="1">INDEX(INDIRECT(CT_STAtoANT!$G$3),1,SUM($S$4:$S31))</f>
        <v>#REF!</v>
      </c>
      <c r="U31" s="184" t="b">
        <f ca="1">IF(ISERROR(MATCH(T31,INDIRECT(ProductTable!$J$4),0)),FALSE,TRUE)</f>
        <v>0</v>
      </c>
      <c r="V31" s="184" t="e">
        <f ca="1">MATCH(TRUE,OFFSET(INDIRECT($U$3),SUM($V$4:$V30),0,ProductTable!$H$2-SUM($V$4:$V30),1),0)</f>
        <v>#REF!</v>
      </c>
      <c r="W31" s="184" t="str">
        <f ca="1">IF(ISERROR($V31),"",INDEX(INDIRECT($T$3),SUM($V$4:$V31)))</f>
        <v/>
      </c>
      <c r="Y31" s="184" t="e">
        <f ca="1">MATCH(TRUE,OFFSET(INDIRECT(INDEX(INDIRECT(CT_APtoC1!$A$5),MATCH(SelectionTables!$H$4,INDIRECT(CT_APtoC1!$G$2),0),0)),0,SUM($Y$4:$Y30),1,ProductTable!$C$2-SUM($Y$4:$Y30)),0)</f>
        <v>#REF!</v>
      </c>
      <c r="Z31" s="251" t="e">
        <f ca="1">INDEX(INDIRECT(CT_APtoC1!$G$3),1,SUM($Y$4:$Y31))</f>
        <v>#REF!</v>
      </c>
      <c r="AA31" s="184" t="e">
        <f ca="1">MATCH(TRUE,OFFSET(INDIRECT(INDEX(INDIRECT(CT_C1toANT!$B$4),0,MATCH(SelectionTables!$J$4,INDIRECT(CT_C1toANT!$G$3),0))),SUM(AA$4:AA30),0,ProductTable!$M$2-SUM(AA$4:AA30)),0)</f>
        <v>#REF!</v>
      </c>
      <c r="AB31" s="251" t="str">
        <f ca="1">IF(ISERROR(AA31),"",INDEX(INDIRECT(CT_C1toANT!$G$2),SUM(AA$4:AA31)))</f>
        <v/>
      </c>
      <c r="AC31" s="184" t="b">
        <f t="shared" ca="1" si="0"/>
        <v>0</v>
      </c>
      <c r="AD31" s="184" t="e">
        <f ca="1">MATCH(TRUE,OFFSET(INDIRECT($AC$3),SUM($AD$4:$AD30),0),0)</f>
        <v>#N/A</v>
      </c>
      <c r="AE31" s="184" t="e">
        <f ca="1">INDEX(INDIRECT($Z$3),SUM($AD$4:$AD31))</f>
        <v>#N/A</v>
      </c>
      <c r="AF31" s="184" t="b">
        <f ca="1">IF(ISERROR(MATCH(AE31,INDIRECT(ProductTable!$O$4),0)),FALSE,TRUE)</f>
        <v>0</v>
      </c>
      <c r="AG31" s="184" t="e">
        <f ca="1">MATCH(TRUE,OFFSET(INDIRECT($AF$3),SUM($AG$4:$AG30),0),0)</f>
        <v>#N/A</v>
      </c>
      <c r="AH31" s="184" t="str">
        <f ca="1">IF(ISERROR(AG31),"",INDEX(INDIRECT($AE$3),SUM($AG$4:$AG31)))</f>
        <v/>
      </c>
      <c r="AJ31" s="184" t="e">
        <f ca="1">MATCH(TRUE,OFFSET(INDIRECT(INDEX(INDIRECT(CT_SAtoC1!$A$5),MATCH(SelectionTables!$K$4,INDIRECT(CT_SAtoC1!$G$2),0),0)),0,SUM($AJ$4:$AJ30),1,ProductTable!$C$2-SUM($AJ$4:$AJ30)),0)</f>
        <v>#REF!</v>
      </c>
      <c r="AK31" s="251" t="e">
        <f ca="1">INDEX(INDIRECT(CT_SAtoC1!$G$3),1,SUM($AJ$4:$AJ31))</f>
        <v>#REF!</v>
      </c>
      <c r="AL31" s="184" t="e">
        <f ca="1">MATCH(TRUE,OFFSET(INDIRECT(INDEX(INDIRECT(CT_C1toANT!$B$4),0,MATCH(SelectionTables!$J$4,INDIRECT(CT_C1toANT!$G$3),0))),SUM(AL$4:AL30),0,ProductTable!$M$2-SUM(AL$4:AL30)),0)</f>
        <v>#REF!</v>
      </c>
      <c r="AM31" s="251" t="str">
        <f ca="1">IF(ISERROR(AL31),"",INDEX(INDIRECT(CT_C1toANT!$G$2),SUM(AL$4:AL31)))</f>
        <v/>
      </c>
      <c r="AN31" s="184" t="b">
        <f t="shared" ca="1" si="1"/>
        <v>0</v>
      </c>
      <c r="AO31" s="184" t="e">
        <f ca="1">MATCH(TRUE,OFFSET(INDIRECT(AN$3),SUM(AO$4:AO30),0),0)</f>
        <v>#N/A</v>
      </c>
      <c r="AP31" s="184" t="e">
        <f ca="1">INDEX(INDIRECT(AK$3),SUM(AO$4:AO31))</f>
        <v>#N/A</v>
      </c>
      <c r="AQ31" s="184" t="b">
        <f ca="1">IF(ISERROR(MATCH(AP31,INDIRECT(ProductTable!$AI$4),0)),FALSE,TRUE)</f>
        <v>0</v>
      </c>
      <c r="AR31" s="184" t="e">
        <f ca="1">MATCH(TRUE,OFFSET(INDIRECT($AQ$3),SUM($AR$4:$AR30),0),0)</f>
        <v>#N/A</v>
      </c>
      <c r="AS31" s="184" t="str">
        <f ca="1">IF(ISERROR(AR31),"",INDEX(INDIRECT(AP$3),SUM(AR$4:AR31)))</f>
        <v/>
      </c>
      <c r="AU31" s="184">
        <f ca="1">IF(OR(EXACT(SelectionTables!$I$4,ProductTable!$L$7),EXACT(SelectionTables!$I$4,"")),"",ProductTable!T34)</f>
        <v>0</v>
      </c>
      <c r="AW31" s="540" t="e">
        <f ca="1">MATCH(TRUE,OFFSET(INDIRECT(INDEX(INDIRECT(CT_STAtoANT!$A$5),MATCH(SelectionTables!$G$4,INDIRECT(CT_STAtoANT!$G$2),0),0)),0,SUM($AW$4:$AW30),1,ProductTable!$H$2-SUM($AW$4:$AW30)),0)</f>
        <v>#REF!</v>
      </c>
      <c r="AX31" s="541" t="e">
        <f ca="1">INDEX(INDIRECT(CT_STAtoANT!$G$3),1,SUM($AW$4:$AW31))</f>
        <v>#REF!</v>
      </c>
      <c r="AY31" s="541" t="b">
        <f ca="1">IF(ISERROR(MATCH(AX31,INDIRECT(ProductTable!$J$4),0)),FALSE,TRUE)</f>
        <v>0</v>
      </c>
      <c r="AZ31" s="541" t="e">
        <f ca="1">MATCH(TRUE,OFFSET(INDIRECT($AY$3),SUM($AZ$4:$AZ30),0,ProductTable!$H$2-SUM($AZ$4:$AZ30),1),0)</f>
        <v>#REF!</v>
      </c>
      <c r="BA31" s="541" t="str">
        <f ca="1">IF(ISERROR($AZ31),"",INDEX(INDIRECT($AX$3),SUM($AZ$4:$AZ31)))</f>
        <v/>
      </c>
      <c r="BB31" s="541" t="e">
        <f ca="1">MATCH(TRUE,OFFSET(INDIRECT(INDEX(INDIRECT(CT_APtoANT!$A$5),MATCH(SelectionTables!$H$4,INDIRECT(CT_APtoANT!$G$2),0),0)),0,SUM($BB$4:$BB30),1,ProductTable!$H$2-SUM($BB$4:$BB30)),0)</f>
        <v>#REF!</v>
      </c>
      <c r="BC31" s="541" t="e">
        <f ca="1">INDEX(INDIRECT(CT_APtoANT!$G$3),1,SUM($BB$4:$BB31))</f>
        <v>#REF!</v>
      </c>
      <c r="BD31" s="541" t="b">
        <f t="shared" ca="1" si="2"/>
        <v>0</v>
      </c>
      <c r="BE31" s="541" t="e">
        <f ca="1">MATCH(TRUE,OFFSET(INDIRECT($BD$3),SUM($BE$4:$BE30),0,ProductTable!$H$2-SUM($BE$4:$BE30),1),0)</f>
        <v>#REF!</v>
      </c>
      <c r="BF31" s="541" t="str">
        <f ca="1">IF(ISERROR($BE31),"",INDEX(INDIRECT($BA$3),SUM($BE$4:$BE31)))</f>
        <v/>
      </c>
      <c r="BH31" s="541" t="e">
        <f ca="1">MATCH(TRUE,OFFSET(INDIRECT(INDEX(INDIRECT(CT_APtoC1!$A$5),MATCH(SelectionTables!$H$4,INDIRECT(CT_APtoC1!$G$2),0),0)),0,SUM($BH$4:$BH30),1,ProductTable!$AG$2-SUM($BH$4:$BH30)),0)</f>
        <v>#REF!</v>
      </c>
      <c r="BI31" s="541" t="e">
        <f ca="1">INDEX(INDIRECT(CT_APtoC1!$G$3),1,SUM($BH$4:$BH31))</f>
        <v>#REF!</v>
      </c>
      <c r="BJ31" s="541" t="b">
        <f ca="1">IF(ISERROR(MATCH(BI31,INDIRECT(ProductTable!$AI$4),0)),FALSE,TRUE)</f>
        <v>0</v>
      </c>
      <c r="BK31" s="541" t="e">
        <f ca="1">MATCH(TRUE,OFFSET(INDIRECT($BJ$3),SUM($BK$4:$BK30),0,ProductTable!$AG$2-SUM($BK$4:$BK30),1),0)</f>
        <v>#N/A</v>
      </c>
      <c r="BL31" s="541" t="str">
        <f ca="1">IF(ISERROR($BK31),"",INDEX(INDIRECT($BI$3),SUM($BK$4:$BK31)))</f>
        <v/>
      </c>
    </row>
    <row r="32" spans="2:64" x14ac:dyDescent="0.25">
      <c r="B32" s="134" t="e">
        <f ca="1">MATCH(TRUE,OFFSET(INDIRECT(INDEX(INDIRECT(CT_APtoWLAN!$A$5),MATCH(SelectionTables!$H$4,INDIRECT(CT_APtoWLAN!$G$2),0),0)),0,SUM($B$4:$B31),1,ProductTable!$W$2-SUM($B$4:$B31)),0)</f>
        <v>#N/A</v>
      </c>
      <c r="C32" s="134" t="e">
        <f ca="1">INDEX(INDIRECT(CT_APtoWLAN!$G$3),1,SUM($B$4:$B32))</f>
        <v>#N/A</v>
      </c>
      <c r="D32" s="134" t="b">
        <f ca="1">IF(ISERROR(MATCH(C32,INDIRECT(ProductTable!$Y$4),0)),FALSE,TRUE)</f>
        <v>0</v>
      </c>
      <c r="E32" s="134" t="e">
        <f ca="1">MATCH(TRUE,OFFSET(INDIRECT($D$3),SUM($E$4:$E31),0,ProductTable!$W$2-SUM($E$4:$E31),1),0)</f>
        <v>#N/A</v>
      </c>
      <c r="F32" s="184" t="str">
        <f ca="1">IF(ISERROR($E32),"",INDEX(INDIRECT($C$3),SUM($E$4:$E32)))</f>
        <v/>
      </c>
      <c r="H32" s="134" t="e">
        <f ca="1">MATCH(TRUE,OFFSET(INDIRECT(INDEX(INDIRECT(CT_APtoSTA!$A$5),MATCH(SelectionTables!$H$4,INDIRECT(CT_APtoSTA!$G$2),0),0)),0,SUM($H$4:$H31),1,ProductTable!$AB$2-SUM($H$4:$H31)),0)</f>
        <v>#REF!</v>
      </c>
      <c r="I32" s="248" t="e">
        <f ca="1">INDEX(INDIRECT(CT_APtoSTA!$G$3),1,SUM($H$4:$H32))</f>
        <v>#REF!</v>
      </c>
      <c r="J32" s="134" t="e">
        <f ca="1">MATCH(TRUE,OFFSET(INDIRECT(INDEX(INDIRECT(CT_STAtoWLAN!$B$4),0,MATCH(SelectionTables!$N$4,INDIRECT(CT_STAtoWLAN!$G$3),0))),SUM($J$4:$J31),0,ProductTable!$AB$2-SUM($J$4:$J31)),0)</f>
        <v>#REF!</v>
      </c>
      <c r="K32" s="248" t="str">
        <f ca="1">IF(ISERROR($J32),"",INDEX(INDIRECT(CT_STAtoWLAN!$G$2),SUM($J$4:$J32)))</f>
        <v/>
      </c>
      <c r="L32" s="184" t="b">
        <f t="shared" ca="1" si="3"/>
        <v>0</v>
      </c>
      <c r="M32" s="184" t="e">
        <f ca="1">MATCH(TRUE,OFFSET(INDIRECT($L$3),SUM($M$4:$M31),0),0)</f>
        <v>#N/A</v>
      </c>
      <c r="N32" s="251" t="str">
        <f ca="1">IF(ISERROR(M32),"",INDEX(INDIRECT($I$3),SUM($M$4:$M32)))</f>
        <v/>
      </c>
      <c r="O32" s="184" t="b">
        <f ca="1">IF(N32="",FALSE,IF(ISERROR(MATCH(N32,INDIRECT(ProductTable!$AD$4),0)),FALSE,TRUE))</f>
        <v>0</v>
      </c>
      <c r="P32" s="184" t="e">
        <f ca="1">MATCH(TRUE,OFFSET(INDIRECT($O$3),SUM($P$4:$P31),0),0)</f>
        <v>#N/A</v>
      </c>
      <c r="Q32" s="184" t="str">
        <f ca="1">IF(ISERROR(P32),"",INDEX(INDIRECT($N$3),SUM($P$4:$P32)))</f>
        <v/>
      </c>
      <c r="S32" s="134" t="e">
        <f ca="1">MATCH(TRUE,OFFSET(INDIRECT(INDEX(INDIRECT(CT_STAtoANT!$A$5),MATCH(SelectionTables!$G$4,INDIRECT(CT_STAtoANT!$G$2),0),0)),0,SUM($S$4:$S31),1,ProductTable!$H$2-SUM($S$4:$S31)),0)</f>
        <v>#REF!</v>
      </c>
      <c r="T32" s="184" t="e">
        <f ca="1">INDEX(INDIRECT(CT_STAtoANT!$G$3),1,SUM($S$4:$S32))</f>
        <v>#REF!</v>
      </c>
      <c r="U32" s="184" t="b">
        <f ca="1">IF(ISERROR(MATCH(T32,INDIRECT(ProductTable!$J$4),0)),FALSE,TRUE)</f>
        <v>0</v>
      </c>
      <c r="V32" s="184" t="e">
        <f ca="1">MATCH(TRUE,OFFSET(INDIRECT($U$3),SUM($V$4:$V31),0,ProductTable!$H$2-SUM($V$4:$V31),1),0)</f>
        <v>#REF!</v>
      </c>
      <c r="W32" s="184" t="str">
        <f ca="1">IF(ISERROR($V32),"",INDEX(INDIRECT($T$3),SUM($V$4:$V32)))</f>
        <v/>
      </c>
      <c r="Y32" s="184" t="e">
        <f ca="1">MATCH(TRUE,OFFSET(INDIRECT(INDEX(INDIRECT(CT_APtoC1!$A$5),MATCH(SelectionTables!$H$4,INDIRECT(CT_APtoC1!$G$2),0),0)),0,SUM($Y$4:$Y31),1,ProductTable!$C$2-SUM($Y$4:$Y31)),0)</f>
        <v>#REF!</v>
      </c>
      <c r="Z32" s="251" t="e">
        <f ca="1">INDEX(INDIRECT(CT_APtoC1!$G$3),1,SUM($Y$4:$Y32))</f>
        <v>#REF!</v>
      </c>
      <c r="AA32" s="184" t="e">
        <f ca="1">MATCH(TRUE,OFFSET(INDIRECT(INDEX(INDIRECT(CT_C1toANT!$B$4),0,MATCH(SelectionTables!$J$4,INDIRECT(CT_C1toANT!$G$3),0))),SUM(AA$4:AA31),0,ProductTable!$M$2-SUM(AA$4:AA31)),0)</f>
        <v>#REF!</v>
      </c>
      <c r="AB32" s="251" t="str">
        <f ca="1">IF(ISERROR(AA32),"",INDEX(INDIRECT(CT_C1toANT!$G$2),SUM(AA$4:AA32)))</f>
        <v/>
      </c>
      <c r="AC32" s="184" t="b">
        <f t="shared" ca="1" si="0"/>
        <v>0</v>
      </c>
      <c r="AD32" s="184" t="e">
        <f ca="1">MATCH(TRUE,OFFSET(INDIRECT($AC$3),SUM($AD$4:$AD31),0),0)</f>
        <v>#N/A</v>
      </c>
      <c r="AE32" s="184" t="e">
        <f ca="1">INDEX(INDIRECT($Z$3),SUM($AD$4:$AD32))</f>
        <v>#N/A</v>
      </c>
      <c r="AF32" s="184" t="b">
        <f ca="1">IF(ISERROR(MATCH(AE32,INDIRECT(ProductTable!$O$4),0)),FALSE,TRUE)</f>
        <v>0</v>
      </c>
      <c r="AG32" s="184" t="e">
        <f ca="1">MATCH(TRUE,OFFSET(INDIRECT($AF$3),SUM($AG$4:$AG31),0),0)</f>
        <v>#N/A</v>
      </c>
      <c r="AH32" s="184" t="str">
        <f ca="1">IF(ISERROR(AG32),"",INDEX(INDIRECT($AE$3),SUM($AG$4:$AG32)))</f>
        <v/>
      </c>
      <c r="AJ32" s="184" t="e">
        <f ca="1">MATCH(TRUE,OFFSET(INDIRECT(INDEX(INDIRECT(CT_SAtoC1!$A$5),MATCH(SelectionTables!$K$4,INDIRECT(CT_SAtoC1!$G$2),0),0)),0,SUM($AJ$4:$AJ31),1,ProductTable!$C$2-SUM($AJ$4:$AJ31)),0)</f>
        <v>#REF!</v>
      </c>
      <c r="AK32" s="251" t="e">
        <f ca="1">INDEX(INDIRECT(CT_SAtoC1!$G$3),1,SUM($AJ$4:$AJ32))</f>
        <v>#REF!</v>
      </c>
      <c r="AL32" s="184" t="e">
        <f ca="1">MATCH(TRUE,OFFSET(INDIRECT(INDEX(INDIRECT(CT_C1toANT!$B$4),0,MATCH(SelectionTables!$J$4,INDIRECT(CT_C1toANT!$G$3),0))),SUM(AL$4:AL31),0,ProductTable!$M$2-SUM(AL$4:AL31)),0)</f>
        <v>#REF!</v>
      </c>
      <c r="AM32" s="251" t="str">
        <f ca="1">IF(ISERROR(AL32),"",INDEX(INDIRECT(CT_C1toANT!$G$2),SUM(AL$4:AL32)))</f>
        <v/>
      </c>
      <c r="AN32" s="184" t="b">
        <f t="shared" ca="1" si="1"/>
        <v>0</v>
      </c>
      <c r="AO32" s="184" t="e">
        <f ca="1">MATCH(TRUE,OFFSET(INDIRECT(AN$3),SUM(AO$4:AO31),0),0)</f>
        <v>#N/A</v>
      </c>
      <c r="AP32" s="184" t="e">
        <f ca="1">INDEX(INDIRECT(AK$3),SUM(AO$4:AO32))</f>
        <v>#N/A</v>
      </c>
      <c r="AQ32" s="184" t="b">
        <f ca="1">IF(ISERROR(MATCH(AP32,INDIRECT(ProductTable!$AI$4),0)),FALSE,TRUE)</f>
        <v>0</v>
      </c>
      <c r="AR32" s="184" t="e">
        <f ca="1">MATCH(TRUE,OFFSET(INDIRECT($AQ$3),SUM($AR$4:$AR31),0),0)</f>
        <v>#N/A</v>
      </c>
      <c r="AS32" s="184" t="str">
        <f ca="1">IF(ISERROR(AR32),"",INDEX(INDIRECT(AP$3),SUM(AR$4:AR32)))</f>
        <v/>
      </c>
      <c r="AU32" s="184">
        <f ca="1">IF(OR(EXACT(SelectionTables!$I$4,ProductTable!$L$7),EXACT(SelectionTables!$I$4,"")),"",ProductTable!T35)</f>
        <v>0</v>
      </c>
      <c r="AW32" s="540" t="e">
        <f ca="1">MATCH(TRUE,OFFSET(INDIRECT(INDEX(INDIRECT(CT_STAtoANT!$A$5),MATCH(SelectionTables!$G$4,INDIRECT(CT_STAtoANT!$G$2),0),0)),0,SUM($AW$4:$AW31),1,ProductTable!$H$2-SUM($AW$4:$AW31)),0)</f>
        <v>#REF!</v>
      </c>
      <c r="AX32" s="541" t="e">
        <f ca="1">INDEX(INDIRECT(CT_STAtoANT!$G$3),1,SUM($AW$4:$AW32))</f>
        <v>#REF!</v>
      </c>
      <c r="AY32" s="541" t="b">
        <f ca="1">IF(ISERROR(MATCH(AX32,INDIRECT(ProductTable!$J$4),0)),FALSE,TRUE)</f>
        <v>0</v>
      </c>
      <c r="AZ32" s="541" t="e">
        <f ca="1">MATCH(TRUE,OFFSET(INDIRECT($AY$3),SUM($AZ$4:$AZ31),0,ProductTable!$H$2-SUM($AZ$4:$AZ31),1),0)</f>
        <v>#REF!</v>
      </c>
      <c r="BA32" s="541" t="str">
        <f ca="1">IF(ISERROR($AZ32),"",INDEX(INDIRECT($AX$3),SUM($AZ$4:$AZ32)))</f>
        <v/>
      </c>
      <c r="BB32" s="541" t="e">
        <f ca="1">MATCH(TRUE,OFFSET(INDIRECT(INDEX(INDIRECT(CT_APtoANT!$A$5),MATCH(SelectionTables!$H$4,INDIRECT(CT_APtoANT!$G$2),0),0)),0,SUM($BB$4:$BB31),1,ProductTable!$H$2-SUM($BB$4:$BB31)),0)</f>
        <v>#REF!</v>
      </c>
      <c r="BC32" s="541" t="e">
        <f ca="1">INDEX(INDIRECT(CT_APtoANT!$G$3),1,SUM($BB$4:$BB32))</f>
        <v>#REF!</v>
      </c>
      <c r="BD32" s="541" t="b">
        <f t="shared" ca="1" si="2"/>
        <v>0</v>
      </c>
      <c r="BE32" s="541" t="e">
        <f ca="1">MATCH(TRUE,OFFSET(INDIRECT($BD$3),SUM($BE$4:$BE31),0,ProductTable!$H$2-SUM($BE$4:$BE31),1),0)</f>
        <v>#REF!</v>
      </c>
      <c r="BF32" s="541" t="str">
        <f ca="1">IF(ISERROR($BE32),"",INDEX(INDIRECT($BA$3),SUM($BE$4:$BE32)))</f>
        <v/>
      </c>
      <c r="BH32" s="541" t="e">
        <f ca="1">MATCH(TRUE,OFFSET(INDIRECT(INDEX(INDIRECT(CT_APtoC1!$A$5),MATCH(SelectionTables!$H$4,INDIRECT(CT_APtoC1!$G$2),0),0)),0,SUM($BH$4:$BH31),1,ProductTable!$AG$2-SUM($BH$4:$BH31)),0)</f>
        <v>#REF!</v>
      </c>
      <c r="BI32" s="541" t="e">
        <f ca="1">INDEX(INDIRECT(CT_APtoC1!$G$3),1,SUM($BH$4:$BH32))</f>
        <v>#REF!</v>
      </c>
      <c r="BJ32" s="541" t="b">
        <f ca="1">IF(ISERROR(MATCH(BI32,INDIRECT(ProductTable!$AI$4),0)),FALSE,TRUE)</f>
        <v>0</v>
      </c>
      <c r="BK32" s="541" t="e">
        <f ca="1">MATCH(TRUE,OFFSET(INDIRECT($BJ$3),SUM($BK$4:$BK31),0,ProductTable!$AG$2-SUM($BK$4:$BK31),1),0)</f>
        <v>#N/A</v>
      </c>
      <c r="BL32" s="541" t="str">
        <f ca="1">IF(ISERROR($BK32),"",INDEX(INDIRECT($BI$3),SUM($BK$4:$BK32)))</f>
        <v/>
      </c>
    </row>
    <row r="33" spans="2:64" x14ac:dyDescent="0.25">
      <c r="B33" s="134" t="e">
        <f ca="1">MATCH(TRUE,OFFSET(INDIRECT(INDEX(INDIRECT(CT_APtoWLAN!$A$5),MATCH(SelectionTables!$H$4,INDIRECT(CT_APtoWLAN!$G$2),0),0)),0,SUM($B$4:$B32),1,ProductTable!$W$2-SUM($B$4:$B32)),0)</f>
        <v>#N/A</v>
      </c>
      <c r="C33" s="134" t="e">
        <f ca="1">INDEX(INDIRECT(CT_APtoWLAN!$G$3),1,SUM($B$4:$B33))</f>
        <v>#N/A</v>
      </c>
      <c r="D33" s="134" t="b">
        <f ca="1">IF(ISERROR(MATCH(C33,INDIRECT(ProductTable!$Y$4),0)),FALSE,TRUE)</f>
        <v>0</v>
      </c>
      <c r="E33" s="134" t="e">
        <f ca="1">MATCH(TRUE,OFFSET(INDIRECT($D$3),SUM($E$4:$E32),0,ProductTable!$W$2-SUM($E$4:$E32),1),0)</f>
        <v>#N/A</v>
      </c>
      <c r="F33" s="184" t="str">
        <f ca="1">IF(ISERROR($E33),"",INDEX(INDIRECT($C$3),SUM($E$4:$E33)))</f>
        <v/>
      </c>
      <c r="H33" s="134" t="e">
        <f ca="1">MATCH(TRUE,OFFSET(INDIRECT(INDEX(INDIRECT(CT_APtoSTA!$A$5),MATCH(SelectionTables!$H$4,INDIRECT(CT_APtoSTA!$G$2),0),0)),0,SUM($H$4:$H32),1,ProductTable!$AB$2-SUM($H$4:$H32)),0)</f>
        <v>#REF!</v>
      </c>
      <c r="I33" s="248" t="e">
        <f ca="1">INDEX(INDIRECT(CT_APtoSTA!$G$3),1,SUM($H$4:$H33))</f>
        <v>#REF!</v>
      </c>
      <c r="J33" s="134" t="e">
        <f ca="1">MATCH(TRUE,OFFSET(INDIRECT(INDEX(INDIRECT(CT_STAtoWLAN!$B$4),0,MATCH(SelectionTables!$N$4,INDIRECT(CT_STAtoWLAN!$G$3),0))),SUM($J$4:$J32),0,ProductTable!$AB$2-SUM($J$4:$J32)),0)</f>
        <v>#REF!</v>
      </c>
      <c r="K33" s="248" t="str">
        <f ca="1">IF(ISERROR($J33),"",INDEX(INDIRECT(CT_STAtoWLAN!$G$2),SUM($J$4:$J33)))</f>
        <v/>
      </c>
      <c r="L33" s="184" t="b">
        <f t="shared" ca="1" si="3"/>
        <v>0</v>
      </c>
      <c r="M33" s="184" t="e">
        <f ca="1">MATCH(TRUE,OFFSET(INDIRECT($L$3),SUM($M$4:$M32),0),0)</f>
        <v>#N/A</v>
      </c>
      <c r="N33" s="251" t="str">
        <f ca="1">IF(ISERROR(M33),"",INDEX(INDIRECT($I$3),SUM($M$4:$M33)))</f>
        <v/>
      </c>
      <c r="O33" s="184" t="b">
        <f ca="1">IF(N33="",FALSE,IF(ISERROR(MATCH(N33,INDIRECT(ProductTable!$AD$4),0)),FALSE,TRUE))</f>
        <v>0</v>
      </c>
      <c r="P33" s="184" t="e">
        <f ca="1">MATCH(TRUE,OFFSET(INDIRECT($O$3),SUM($P$4:$P32),0),0)</f>
        <v>#N/A</v>
      </c>
      <c r="Q33" s="184" t="str">
        <f ca="1">IF(ISERROR(P33),"",INDEX(INDIRECT($N$3),SUM($P$4:$P33)))</f>
        <v/>
      </c>
      <c r="S33" s="134" t="e">
        <f ca="1">MATCH(TRUE,OFFSET(INDIRECT(INDEX(INDIRECT(CT_STAtoANT!$A$5),MATCH(SelectionTables!$G$4,INDIRECT(CT_STAtoANT!$G$2),0),0)),0,SUM($S$4:$S32),1,ProductTable!$H$2-SUM($S$4:$S32)),0)</f>
        <v>#REF!</v>
      </c>
      <c r="T33" s="184" t="e">
        <f ca="1">INDEX(INDIRECT(CT_STAtoANT!$G$3),1,SUM($S$4:$S33))</f>
        <v>#REF!</v>
      </c>
      <c r="U33" s="184" t="b">
        <f ca="1">IF(ISERROR(MATCH(T33,INDIRECT(ProductTable!$J$4),0)),FALSE,TRUE)</f>
        <v>0</v>
      </c>
      <c r="V33" s="184" t="e">
        <f ca="1">MATCH(TRUE,OFFSET(INDIRECT($U$3),SUM($V$4:$V32),0,ProductTable!$H$2-SUM($V$4:$V32),1),0)</f>
        <v>#REF!</v>
      </c>
      <c r="W33" s="184" t="str">
        <f ca="1">IF(ISERROR($V33),"",INDEX(INDIRECT($T$3),SUM($V$4:$V33)))</f>
        <v/>
      </c>
      <c r="Y33" s="184" t="e">
        <f ca="1">MATCH(TRUE,OFFSET(INDIRECT(INDEX(INDIRECT(CT_APtoC1!$A$5),MATCH(SelectionTables!$H$4,INDIRECT(CT_APtoC1!$G$2),0),0)),0,SUM($Y$4:$Y32),1,ProductTable!$C$2-SUM($Y$4:$Y32)),0)</f>
        <v>#REF!</v>
      </c>
      <c r="Z33" s="251" t="e">
        <f ca="1">INDEX(INDIRECT(CT_APtoC1!$G$3),1,SUM($Y$4:$Y33))</f>
        <v>#REF!</v>
      </c>
      <c r="AA33" s="184" t="e">
        <f ca="1">MATCH(TRUE,OFFSET(INDIRECT(INDEX(INDIRECT(CT_C1toANT!$B$4),0,MATCH(SelectionTables!$J$4,INDIRECT(CT_C1toANT!$G$3),0))),SUM(AA$4:AA32),0,ProductTable!$M$2-SUM(AA$4:AA32)),0)</f>
        <v>#REF!</v>
      </c>
      <c r="AB33" s="251" t="str">
        <f ca="1">IF(ISERROR(AA33),"",INDEX(INDIRECT(CT_C1toANT!$G$2),SUM(AA$4:AA33)))</f>
        <v/>
      </c>
      <c r="AC33" s="184" t="b">
        <f t="shared" ca="1" si="0"/>
        <v>0</v>
      </c>
      <c r="AD33" s="184" t="e">
        <f ca="1">MATCH(TRUE,OFFSET(INDIRECT($AC$3),SUM($AD$4:$AD32),0),0)</f>
        <v>#N/A</v>
      </c>
      <c r="AE33" s="184" t="e">
        <f ca="1">INDEX(INDIRECT($Z$3),SUM($AD$4:$AD33))</f>
        <v>#N/A</v>
      </c>
      <c r="AF33" s="184" t="b">
        <f ca="1">IF(ISERROR(MATCH(AE33,INDIRECT(ProductTable!$O$4),0)),FALSE,TRUE)</f>
        <v>0</v>
      </c>
      <c r="AG33" s="184" t="e">
        <f ca="1">MATCH(TRUE,OFFSET(INDIRECT($AF$3),SUM($AG$4:$AG32),0),0)</f>
        <v>#N/A</v>
      </c>
      <c r="AH33" s="184" t="str">
        <f ca="1">IF(ISERROR(AG33),"",INDEX(INDIRECT($AE$3),SUM($AG$4:$AG33)))</f>
        <v/>
      </c>
      <c r="AJ33" s="184" t="e">
        <f ca="1">MATCH(TRUE,OFFSET(INDIRECT(INDEX(INDIRECT(CT_SAtoC1!$A$5),MATCH(SelectionTables!$K$4,INDIRECT(CT_SAtoC1!$G$2),0),0)),0,SUM($AJ$4:$AJ32),1,ProductTable!$C$2-SUM($AJ$4:$AJ32)),0)</f>
        <v>#REF!</v>
      </c>
      <c r="AK33" s="251" t="e">
        <f ca="1">INDEX(INDIRECT(CT_SAtoC1!$G$3),1,SUM($AJ$4:$AJ33))</f>
        <v>#REF!</v>
      </c>
      <c r="AL33" s="184" t="e">
        <f ca="1">MATCH(TRUE,OFFSET(INDIRECT(INDEX(INDIRECT(CT_C1toANT!$B$4),0,MATCH(SelectionTables!$J$4,INDIRECT(CT_C1toANT!$G$3),0))),SUM(AL$4:AL32),0,ProductTable!$M$2-SUM(AL$4:AL32)),0)</f>
        <v>#REF!</v>
      </c>
      <c r="AM33" s="251" t="str">
        <f ca="1">IF(ISERROR(AL33),"",INDEX(INDIRECT(CT_C1toANT!$G$2),SUM(AL$4:AL33)))</f>
        <v/>
      </c>
      <c r="AN33" s="184" t="b">
        <f t="shared" ca="1" si="1"/>
        <v>0</v>
      </c>
      <c r="AO33" s="184" t="e">
        <f ca="1">MATCH(TRUE,OFFSET(INDIRECT(AN$3),SUM(AO$4:AO32),0),0)</f>
        <v>#N/A</v>
      </c>
      <c r="AP33" s="184" t="e">
        <f ca="1">INDEX(INDIRECT(AK$3),SUM(AO$4:AO33))</f>
        <v>#N/A</v>
      </c>
      <c r="AQ33" s="184" t="b">
        <f ca="1">IF(ISERROR(MATCH(AP33,INDIRECT(ProductTable!$AI$4),0)),FALSE,TRUE)</f>
        <v>0</v>
      </c>
      <c r="AR33" s="184" t="e">
        <f ca="1">MATCH(TRUE,OFFSET(INDIRECT($AQ$3),SUM($AR$4:$AR32),0),0)</f>
        <v>#N/A</v>
      </c>
      <c r="AS33" s="184" t="str">
        <f ca="1">IF(ISERROR(AR33),"",INDEX(INDIRECT(AP$3),SUM(AR$4:AR33)))</f>
        <v/>
      </c>
      <c r="AU33" s="184">
        <f ca="1">IF(OR(EXACT(SelectionTables!$I$4,ProductTable!$L$7),EXACT(SelectionTables!$I$4,"")),"",ProductTable!T36)</f>
        <v>0</v>
      </c>
      <c r="AW33" s="540" t="e">
        <f ca="1">MATCH(TRUE,OFFSET(INDIRECT(INDEX(INDIRECT(CT_STAtoANT!$A$5),MATCH(SelectionTables!$G$4,INDIRECT(CT_STAtoANT!$G$2),0),0)),0,SUM($AW$4:$AW32),1,ProductTable!$H$2-SUM($AW$4:$AW32)),0)</f>
        <v>#REF!</v>
      </c>
      <c r="AX33" s="541" t="e">
        <f ca="1">INDEX(INDIRECT(CT_STAtoANT!$G$3),1,SUM($AW$4:$AW33))</f>
        <v>#REF!</v>
      </c>
      <c r="AY33" s="541" t="b">
        <f ca="1">IF(ISERROR(MATCH(AX33,INDIRECT(ProductTable!$J$4),0)),FALSE,TRUE)</f>
        <v>0</v>
      </c>
      <c r="AZ33" s="541" t="e">
        <f ca="1">MATCH(TRUE,OFFSET(INDIRECT($AY$3),SUM($AZ$4:$AZ32),0,ProductTable!$H$2-SUM($AZ$4:$AZ32),1),0)</f>
        <v>#REF!</v>
      </c>
      <c r="BA33" s="541" t="str">
        <f ca="1">IF(ISERROR($AZ33),"",INDEX(INDIRECT($AX$3),SUM($AZ$4:$AZ33)))</f>
        <v/>
      </c>
      <c r="BB33" s="541" t="e">
        <f ca="1">MATCH(TRUE,OFFSET(INDIRECT(INDEX(INDIRECT(CT_APtoANT!$A$5),MATCH(SelectionTables!$H$4,INDIRECT(CT_APtoANT!$G$2),0),0)),0,SUM($BB$4:$BB32),1,ProductTable!$H$2-SUM($BB$4:$BB32)),0)</f>
        <v>#REF!</v>
      </c>
      <c r="BC33" s="541" t="e">
        <f ca="1">INDEX(INDIRECT(CT_APtoANT!$G$3),1,SUM($BB$4:$BB33))</f>
        <v>#REF!</v>
      </c>
      <c r="BD33" s="541" t="b">
        <f t="shared" ca="1" si="2"/>
        <v>0</v>
      </c>
      <c r="BE33" s="541" t="e">
        <f ca="1">MATCH(TRUE,OFFSET(INDIRECT($BD$3),SUM($BE$4:$BE32),0,ProductTable!$H$2-SUM($BE$4:$BE32),1),0)</f>
        <v>#REF!</v>
      </c>
      <c r="BF33" s="541" t="str">
        <f ca="1">IF(ISERROR($BE33),"",INDEX(INDIRECT($BA$3),SUM($BE$4:$BE33)))</f>
        <v/>
      </c>
      <c r="BH33" s="541" t="e">
        <f ca="1">MATCH(TRUE,OFFSET(INDIRECT(INDEX(INDIRECT(CT_APtoC1!$A$5),MATCH(SelectionTables!$H$4,INDIRECT(CT_APtoC1!$G$2),0),0)),0,SUM($BH$4:$BH32),1,ProductTable!$AG$2-SUM($BH$4:$BH32)),0)</f>
        <v>#REF!</v>
      </c>
      <c r="BI33" s="541" t="e">
        <f ca="1">INDEX(INDIRECT(CT_APtoC1!$G$3),1,SUM($BH$4:$BH33))</f>
        <v>#REF!</v>
      </c>
      <c r="BJ33" s="541" t="b">
        <f ca="1">IF(ISERROR(MATCH(BI33,INDIRECT(ProductTable!$AI$4),0)),FALSE,TRUE)</f>
        <v>0</v>
      </c>
      <c r="BK33" s="541" t="e">
        <f ca="1">MATCH(TRUE,OFFSET(INDIRECT($BJ$3),SUM($BK$4:$BK32),0,ProductTable!$AG$2-SUM($BK$4:$BK32),1),0)</f>
        <v>#N/A</v>
      </c>
      <c r="BL33" s="541" t="str">
        <f ca="1">IF(ISERROR($BK33),"",INDEX(INDIRECT($BI$3),SUM($BK$4:$BK33)))</f>
        <v/>
      </c>
    </row>
    <row r="34" spans="2:64" x14ac:dyDescent="0.25">
      <c r="B34" s="134" t="e">
        <f ca="1">MATCH(TRUE,OFFSET(INDIRECT(INDEX(INDIRECT(CT_APtoWLAN!$A$5),MATCH(SelectionTables!$H$4,INDIRECT(CT_APtoWLAN!$G$2),0),0)),0,SUM($B$4:$B33),1,ProductTable!$W$2-SUM($B$4:$B33)),0)</f>
        <v>#N/A</v>
      </c>
      <c r="C34" s="134" t="e">
        <f ca="1">INDEX(INDIRECT(CT_APtoWLAN!$G$3),1,SUM($B$4:$B34))</f>
        <v>#N/A</v>
      </c>
      <c r="D34" s="134" t="b">
        <f ca="1">IF(ISERROR(MATCH(C34,INDIRECT(ProductTable!$Y$4),0)),FALSE,TRUE)</f>
        <v>0</v>
      </c>
      <c r="E34" s="134" t="e">
        <f ca="1">MATCH(TRUE,OFFSET(INDIRECT($D$3),SUM($E$4:$E33),0,ProductTable!$W$2-SUM($E$4:$E33),1),0)</f>
        <v>#N/A</v>
      </c>
      <c r="F34" s="184" t="str">
        <f ca="1">IF(ISERROR($E34),"",INDEX(INDIRECT($C$3),SUM($E$4:$E34)))</f>
        <v/>
      </c>
      <c r="H34" s="134" t="e">
        <f ca="1">MATCH(TRUE,OFFSET(INDIRECT(INDEX(INDIRECT(CT_APtoSTA!$A$5),MATCH(SelectionTables!$H$4,INDIRECT(CT_APtoSTA!$G$2),0),0)),0,SUM($H$4:$H33),1,ProductTable!$AB$2-SUM($H$4:$H33)),0)</f>
        <v>#REF!</v>
      </c>
      <c r="I34" s="248" t="e">
        <f ca="1">INDEX(INDIRECT(CT_APtoSTA!$G$3),1,SUM($H$4:$H34))</f>
        <v>#REF!</v>
      </c>
      <c r="J34" s="134" t="e">
        <f ca="1">MATCH(TRUE,OFFSET(INDIRECT(INDEX(INDIRECT(CT_STAtoWLAN!$B$4),0,MATCH(SelectionTables!$N$4,INDIRECT(CT_STAtoWLAN!$G$3),0))),SUM($J$4:$J33),0,ProductTable!$AB$2-SUM($J$4:$J33)),0)</f>
        <v>#REF!</v>
      </c>
      <c r="K34" s="248" t="str">
        <f ca="1">IF(ISERROR($J34),"",INDEX(INDIRECT(CT_STAtoWLAN!$G$2),SUM($J$4:$J34)))</f>
        <v/>
      </c>
      <c r="L34" s="184" t="b">
        <f t="shared" ca="1" si="3"/>
        <v>0</v>
      </c>
      <c r="M34" s="184" t="e">
        <f ca="1">MATCH(TRUE,OFFSET(INDIRECT($L$3),SUM($M$4:$M33),0),0)</f>
        <v>#N/A</v>
      </c>
      <c r="N34" s="251" t="str">
        <f ca="1">IF(ISERROR(M34),"",INDEX(INDIRECT($I$3),SUM($M$4:$M34)))</f>
        <v/>
      </c>
      <c r="O34" s="184" t="b">
        <f ca="1">IF(N34="",FALSE,IF(ISERROR(MATCH(N34,INDIRECT(ProductTable!$AD$4),0)),FALSE,TRUE))</f>
        <v>0</v>
      </c>
      <c r="P34" s="184" t="e">
        <f ca="1">MATCH(TRUE,OFFSET(INDIRECT($O$3),SUM($P$4:$P33),0),0)</f>
        <v>#N/A</v>
      </c>
      <c r="Q34" s="184" t="str">
        <f ca="1">IF(ISERROR(P34),"",INDEX(INDIRECT($N$3),SUM($P$4:$P34)))</f>
        <v/>
      </c>
      <c r="S34" s="134" t="e">
        <f ca="1">MATCH(TRUE,OFFSET(INDIRECT(INDEX(INDIRECT(CT_STAtoANT!$A$5),MATCH(SelectionTables!$G$4,INDIRECT(CT_STAtoANT!$G$2),0),0)),0,SUM($S$4:$S33),1,ProductTable!$H$2-SUM($S$4:$S33)),0)</f>
        <v>#REF!</v>
      </c>
      <c r="T34" s="184" t="e">
        <f ca="1">INDEX(INDIRECT(CT_STAtoANT!$G$3),1,SUM($S$4:$S34))</f>
        <v>#REF!</v>
      </c>
      <c r="U34" s="184" t="b">
        <f ca="1">IF(ISERROR(MATCH(T34,INDIRECT(ProductTable!$J$4),0)),FALSE,TRUE)</f>
        <v>0</v>
      </c>
      <c r="V34" s="184" t="e">
        <f ca="1">MATCH(TRUE,OFFSET(INDIRECT($U$3),SUM($V$4:$V33),0,ProductTable!$H$2-SUM($V$4:$V33),1),0)</f>
        <v>#REF!</v>
      </c>
      <c r="W34" s="184" t="str">
        <f ca="1">IF(ISERROR($V34),"",INDEX(INDIRECT($T$3),SUM($V$4:$V34)))</f>
        <v/>
      </c>
      <c r="Y34" s="184" t="e">
        <f ca="1">MATCH(TRUE,OFFSET(INDIRECT(INDEX(INDIRECT(CT_APtoC1!$A$5),MATCH(SelectionTables!$H$4,INDIRECT(CT_APtoC1!$G$2),0),0)),0,SUM($Y$4:$Y33),1,ProductTable!$C$2-SUM($Y$4:$Y33)),0)</f>
        <v>#REF!</v>
      </c>
      <c r="Z34" s="251" t="e">
        <f ca="1">INDEX(INDIRECT(CT_APtoC1!$G$3),1,SUM($Y$4:$Y34))</f>
        <v>#REF!</v>
      </c>
      <c r="AA34" s="184" t="e">
        <f ca="1">MATCH(TRUE,OFFSET(INDIRECT(INDEX(INDIRECT(CT_C1toANT!$B$4),0,MATCH(SelectionTables!$J$4,INDIRECT(CT_C1toANT!$G$3),0))),SUM(AA$4:AA33),0,ProductTable!$M$2-SUM(AA$4:AA33)),0)</f>
        <v>#REF!</v>
      </c>
      <c r="AB34" s="251" t="str">
        <f ca="1">IF(ISERROR(AA34),"",INDEX(INDIRECT(CT_C1toANT!$G$2),SUM(AA$4:AA34)))</f>
        <v/>
      </c>
      <c r="AC34" s="184" t="b">
        <f t="shared" ca="1" si="0"/>
        <v>0</v>
      </c>
      <c r="AD34" s="184" t="e">
        <f ca="1">MATCH(TRUE,OFFSET(INDIRECT($AC$3),SUM($AD$4:$AD33),0),0)</f>
        <v>#N/A</v>
      </c>
      <c r="AE34" s="184" t="e">
        <f ca="1">INDEX(INDIRECT($Z$3),SUM($AD$4:$AD34))</f>
        <v>#N/A</v>
      </c>
      <c r="AF34" s="184" t="b">
        <f ca="1">IF(ISERROR(MATCH(AE34,INDIRECT(ProductTable!$O$4),0)),FALSE,TRUE)</f>
        <v>0</v>
      </c>
      <c r="AG34" s="184" t="e">
        <f ca="1">MATCH(TRUE,OFFSET(INDIRECT($AF$3),SUM($AG$4:$AG33),0),0)</f>
        <v>#N/A</v>
      </c>
      <c r="AH34" s="184" t="str">
        <f ca="1">IF(ISERROR(AG34),"",INDEX(INDIRECT($AE$3),SUM($AG$4:$AG34)))</f>
        <v/>
      </c>
      <c r="AJ34" s="184" t="e">
        <f ca="1">MATCH(TRUE,OFFSET(INDIRECT(INDEX(INDIRECT(CT_SAtoC1!$A$5),MATCH(SelectionTables!$K$4,INDIRECT(CT_SAtoC1!$G$2),0),0)),0,SUM($AJ$4:$AJ33),1,ProductTable!$C$2-SUM($AJ$4:$AJ33)),0)</f>
        <v>#REF!</v>
      </c>
      <c r="AK34" s="251" t="e">
        <f ca="1">INDEX(INDIRECT(CT_SAtoC1!$G$3),1,SUM($AJ$4:$AJ34))</f>
        <v>#REF!</v>
      </c>
      <c r="AL34" s="184" t="e">
        <f ca="1">MATCH(TRUE,OFFSET(INDIRECT(INDEX(INDIRECT(CT_C1toANT!$B$4),0,MATCH(SelectionTables!$J$4,INDIRECT(CT_C1toANT!$G$3),0))),SUM(AL$4:AL33),0,ProductTable!$M$2-SUM(AL$4:AL33)),0)</f>
        <v>#REF!</v>
      </c>
      <c r="AM34" s="251" t="str">
        <f ca="1">IF(ISERROR(AL34),"",INDEX(INDIRECT(CT_C1toANT!$G$2),SUM(AL$4:AL34)))</f>
        <v/>
      </c>
      <c r="AN34" s="184" t="b">
        <f t="shared" ca="1" si="1"/>
        <v>0</v>
      </c>
      <c r="AO34" s="184" t="e">
        <f ca="1">MATCH(TRUE,OFFSET(INDIRECT(AN$3),SUM(AO$4:AO33),0),0)</f>
        <v>#N/A</v>
      </c>
      <c r="AP34" s="184" t="e">
        <f ca="1">INDEX(INDIRECT(AK$3),SUM(AO$4:AO34))</f>
        <v>#N/A</v>
      </c>
      <c r="AQ34" s="184" t="b">
        <f ca="1">IF(ISERROR(MATCH(AP34,INDIRECT(ProductTable!$AI$4),0)),FALSE,TRUE)</f>
        <v>0</v>
      </c>
      <c r="AR34" s="184" t="e">
        <f ca="1">MATCH(TRUE,OFFSET(INDIRECT($AQ$3),SUM($AR$4:$AR33),0),0)</f>
        <v>#N/A</v>
      </c>
      <c r="AS34" s="184" t="str">
        <f ca="1">IF(ISERROR(AR34),"",INDEX(INDIRECT(AP$3),SUM(AR$4:AR34)))</f>
        <v/>
      </c>
      <c r="AU34" s="184">
        <f ca="1">IF(OR(EXACT(SelectionTables!$I$4,ProductTable!$L$7),EXACT(SelectionTables!$I$4,"")),"",ProductTable!T37)</f>
        <v>0</v>
      </c>
      <c r="AW34" s="540" t="e">
        <f ca="1">MATCH(TRUE,OFFSET(INDIRECT(INDEX(INDIRECT(CT_STAtoANT!$A$5),MATCH(SelectionTables!$G$4,INDIRECT(CT_STAtoANT!$G$2),0),0)),0,SUM($AW$4:$AW33),1,ProductTable!$H$2-SUM($AW$4:$AW33)),0)</f>
        <v>#REF!</v>
      </c>
      <c r="AX34" s="541" t="e">
        <f ca="1">INDEX(INDIRECT(CT_STAtoANT!$G$3),1,SUM($AW$4:$AW34))</f>
        <v>#REF!</v>
      </c>
      <c r="AY34" s="541" t="b">
        <f ca="1">IF(ISERROR(MATCH(AX34,INDIRECT(ProductTable!$J$4),0)),FALSE,TRUE)</f>
        <v>0</v>
      </c>
      <c r="AZ34" s="541" t="e">
        <f ca="1">MATCH(TRUE,OFFSET(INDIRECT($AY$3),SUM($AZ$4:$AZ33),0,ProductTable!$H$2-SUM($AZ$4:$AZ33),1),0)</f>
        <v>#REF!</v>
      </c>
      <c r="BA34" s="541" t="str">
        <f ca="1">IF(ISERROR($AZ34),"",INDEX(INDIRECT($AX$3),SUM($AZ$4:$AZ34)))</f>
        <v/>
      </c>
      <c r="BB34" s="541" t="e">
        <f ca="1">MATCH(TRUE,OFFSET(INDIRECT(INDEX(INDIRECT(CT_APtoANT!$A$5),MATCH(SelectionTables!$H$4,INDIRECT(CT_APtoANT!$G$2),0),0)),0,SUM($BB$4:$BB33),1,ProductTable!$H$2-SUM($BB$4:$BB33)),0)</f>
        <v>#REF!</v>
      </c>
      <c r="BC34" s="541" t="e">
        <f ca="1">INDEX(INDIRECT(CT_APtoANT!$G$3),1,SUM($BB$4:$BB34))</f>
        <v>#REF!</v>
      </c>
      <c r="BD34" s="541" t="b">
        <f t="shared" ca="1" si="2"/>
        <v>0</v>
      </c>
      <c r="BE34" s="541" t="e">
        <f ca="1">MATCH(TRUE,OFFSET(INDIRECT($BD$3),SUM($BE$4:$BE33),0,ProductTable!$H$2-SUM($BE$4:$BE33),1),0)</f>
        <v>#REF!</v>
      </c>
      <c r="BF34" s="541" t="str">
        <f ca="1">IF(ISERROR($BE34),"",INDEX(INDIRECT($BA$3),SUM($BE$4:$BE34)))</f>
        <v/>
      </c>
      <c r="BH34" s="541" t="e">
        <f ca="1">MATCH(TRUE,OFFSET(INDIRECT(INDEX(INDIRECT(CT_APtoC1!$A$5),MATCH(SelectionTables!$H$4,INDIRECT(CT_APtoC1!$G$2),0),0)),0,SUM($BH$4:$BH33),1,ProductTable!$AG$2-SUM($BH$4:$BH33)),0)</f>
        <v>#REF!</v>
      </c>
      <c r="BI34" s="541" t="e">
        <f ca="1">INDEX(INDIRECT(CT_APtoC1!$G$3),1,SUM($BH$4:$BH34))</f>
        <v>#REF!</v>
      </c>
      <c r="BJ34" s="541" t="b">
        <f ca="1">IF(ISERROR(MATCH(BI34,INDIRECT(ProductTable!$AI$4),0)),FALSE,TRUE)</f>
        <v>0</v>
      </c>
      <c r="BK34" s="541" t="e">
        <f ca="1">MATCH(TRUE,OFFSET(INDIRECT($BJ$3),SUM($BK$4:$BK33),0,ProductTable!$AG$2-SUM($BK$4:$BK33),1),0)</f>
        <v>#N/A</v>
      </c>
      <c r="BL34" s="541" t="str">
        <f ca="1">IF(ISERROR($BK34),"",INDEX(INDIRECT($BI$3),SUM($BK$4:$BK34)))</f>
        <v/>
      </c>
    </row>
    <row r="35" spans="2:64" x14ac:dyDescent="0.25">
      <c r="B35" s="134" t="e">
        <f ca="1">MATCH(TRUE,OFFSET(INDIRECT(INDEX(INDIRECT(CT_APtoWLAN!$A$5),MATCH(SelectionTables!$H$4,INDIRECT(CT_APtoWLAN!$G$2),0),0)),0,SUM($B$4:$B34),1,ProductTable!$W$2-SUM($B$4:$B34)),0)</f>
        <v>#N/A</v>
      </c>
      <c r="C35" s="134" t="e">
        <f ca="1">INDEX(INDIRECT(CT_APtoWLAN!$G$3),1,SUM($B$4:$B35))</f>
        <v>#N/A</v>
      </c>
      <c r="D35" s="134" t="b">
        <f ca="1">IF(ISERROR(MATCH(C35,INDIRECT(ProductTable!$Y$4),0)),FALSE,TRUE)</f>
        <v>0</v>
      </c>
      <c r="E35" s="134" t="e">
        <f ca="1">MATCH(TRUE,OFFSET(INDIRECT($D$3),SUM($E$4:$E34),0,ProductTable!$W$2-SUM($E$4:$E34),1),0)</f>
        <v>#N/A</v>
      </c>
      <c r="F35" s="184" t="str">
        <f ca="1">IF(ISERROR($E35),"",INDEX(INDIRECT($C$3),SUM($E$4:$E35)))</f>
        <v/>
      </c>
      <c r="H35" s="134" t="e">
        <f ca="1">MATCH(TRUE,OFFSET(INDIRECT(INDEX(INDIRECT(CT_APtoSTA!$A$5),MATCH(SelectionTables!$H$4,INDIRECT(CT_APtoSTA!$G$2),0),0)),0,SUM($H$4:$H34),1,ProductTable!$AB$2-SUM($H$4:$H34)),0)</f>
        <v>#REF!</v>
      </c>
      <c r="I35" s="248" t="e">
        <f ca="1">INDEX(INDIRECT(CT_APtoSTA!$G$3),1,SUM($H$4:$H35))</f>
        <v>#REF!</v>
      </c>
      <c r="J35" s="134" t="e">
        <f ca="1">MATCH(TRUE,OFFSET(INDIRECT(INDEX(INDIRECT(CT_STAtoWLAN!$B$4),0,MATCH(SelectionTables!$N$4,INDIRECT(CT_STAtoWLAN!$G$3),0))),SUM($J$4:$J34),0,ProductTable!$AB$2-SUM($J$4:$J34)),0)</f>
        <v>#REF!</v>
      </c>
      <c r="K35" s="248" t="str">
        <f ca="1">IF(ISERROR($J35),"",INDEX(INDIRECT(CT_STAtoWLAN!$G$2),SUM($J$4:$J35)))</f>
        <v/>
      </c>
      <c r="L35" s="184" t="b">
        <f t="shared" ca="1" si="3"/>
        <v>0</v>
      </c>
      <c r="M35" s="184" t="e">
        <f ca="1">MATCH(TRUE,OFFSET(INDIRECT($L$3),SUM($M$4:$M34),0),0)</f>
        <v>#N/A</v>
      </c>
      <c r="N35" s="251" t="str">
        <f ca="1">IF(ISERROR(M35),"",INDEX(INDIRECT($I$3),SUM($M$4:$M35)))</f>
        <v/>
      </c>
      <c r="O35" s="184" t="b">
        <f ca="1">IF(N35="",FALSE,IF(ISERROR(MATCH(N35,INDIRECT(ProductTable!$AD$4),0)),FALSE,TRUE))</f>
        <v>0</v>
      </c>
      <c r="P35" s="184" t="e">
        <f ca="1">MATCH(TRUE,OFFSET(INDIRECT($O$3),SUM($P$4:$P34),0),0)</f>
        <v>#N/A</v>
      </c>
      <c r="Q35" s="184" t="str">
        <f ca="1">IF(ISERROR(P35),"",INDEX(INDIRECT($N$3),SUM($P$4:$P35)))</f>
        <v/>
      </c>
      <c r="S35" s="134" t="e">
        <f ca="1">MATCH(TRUE,OFFSET(INDIRECT(INDEX(INDIRECT(CT_STAtoANT!$A$5),MATCH(SelectionTables!$G$4,INDIRECT(CT_STAtoANT!$G$2),0),0)),0,SUM($S$4:$S34),1,ProductTable!$H$2-SUM($S$4:$S34)),0)</f>
        <v>#REF!</v>
      </c>
      <c r="T35" s="184" t="e">
        <f ca="1">INDEX(INDIRECT(CT_STAtoANT!$G$3),1,SUM($S$4:$S35))</f>
        <v>#REF!</v>
      </c>
      <c r="U35" s="184" t="b">
        <f ca="1">IF(ISERROR(MATCH(T35,INDIRECT(ProductTable!$J$4),0)),FALSE,TRUE)</f>
        <v>0</v>
      </c>
      <c r="V35" s="184" t="e">
        <f ca="1">MATCH(TRUE,OFFSET(INDIRECT($U$3),SUM($V$4:$V34),0,ProductTable!$H$2-SUM($V$4:$V34),1),0)</f>
        <v>#REF!</v>
      </c>
      <c r="W35" s="184" t="str">
        <f ca="1">IF(ISERROR($V35),"",INDEX(INDIRECT($T$3),SUM($V$4:$V35)))</f>
        <v/>
      </c>
      <c r="Y35" s="184" t="e">
        <f ca="1">MATCH(TRUE,OFFSET(INDIRECT(INDEX(INDIRECT(CT_APtoC1!$A$5),MATCH(SelectionTables!$H$4,INDIRECT(CT_APtoC1!$G$2),0),0)),0,SUM($Y$4:$Y34),1,ProductTable!$C$2-SUM($Y$4:$Y34)),0)</f>
        <v>#REF!</v>
      </c>
      <c r="Z35" s="251" t="e">
        <f ca="1">INDEX(INDIRECT(CT_APtoC1!$G$3),1,SUM($Y$4:$Y35))</f>
        <v>#REF!</v>
      </c>
      <c r="AA35" s="184" t="e">
        <f ca="1">MATCH(TRUE,OFFSET(INDIRECT(INDEX(INDIRECT(CT_C1toANT!$B$4),0,MATCH(SelectionTables!$J$4,INDIRECT(CT_C1toANT!$G$3),0))),SUM(AA$4:AA34),0,ProductTable!$M$2-SUM(AA$4:AA34)),0)</f>
        <v>#REF!</v>
      </c>
      <c r="AB35" s="251" t="str">
        <f ca="1">IF(ISERROR(AA35),"",INDEX(INDIRECT(CT_C1toANT!$G$2),SUM(AA$4:AA35)))</f>
        <v/>
      </c>
      <c r="AC35" s="184" t="b">
        <f t="shared" ca="1" si="0"/>
        <v>0</v>
      </c>
      <c r="AD35" s="184" t="e">
        <f ca="1">MATCH(TRUE,OFFSET(INDIRECT($AC$3),SUM($AD$4:$AD34),0),0)</f>
        <v>#N/A</v>
      </c>
      <c r="AE35" s="184" t="e">
        <f ca="1">INDEX(INDIRECT($Z$3),SUM($AD$4:$AD35))</f>
        <v>#N/A</v>
      </c>
      <c r="AF35" s="184" t="b">
        <f ca="1">IF(ISERROR(MATCH(AE35,INDIRECT(ProductTable!$O$4),0)),FALSE,TRUE)</f>
        <v>0</v>
      </c>
      <c r="AG35" s="184" t="e">
        <f ca="1">MATCH(TRUE,OFFSET(INDIRECT($AF$3),SUM($AG$4:$AG34),0),0)</f>
        <v>#N/A</v>
      </c>
      <c r="AH35" s="184" t="str">
        <f ca="1">IF(ISERROR(AG35),"",INDEX(INDIRECT($AE$3),SUM($AG$4:$AG35)))</f>
        <v/>
      </c>
      <c r="AJ35" s="184" t="e">
        <f ca="1">MATCH(TRUE,OFFSET(INDIRECT(INDEX(INDIRECT(CT_SAtoC1!$A$5),MATCH(SelectionTables!$K$4,INDIRECT(CT_SAtoC1!$G$2),0),0)),0,SUM($AJ$4:$AJ34),1,ProductTable!$C$2-SUM($AJ$4:$AJ34)),0)</f>
        <v>#REF!</v>
      </c>
      <c r="AK35" s="251" t="e">
        <f ca="1">INDEX(INDIRECT(CT_SAtoC1!$G$3),1,SUM($AJ$4:$AJ35))</f>
        <v>#REF!</v>
      </c>
      <c r="AL35" s="184" t="e">
        <f ca="1">MATCH(TRUE,OFFSET(INDIRECT(INDEX(INDIRECT(CT_C1toANT!$B$4),0,MATCH(SelectionTables!$J$4,INDIRECT(CT_C1toANT!$G$3),0))),SUM(AL$4:AL34),0,ProductTable!$M$2-SUM(AL$4:AL34)),0)</f>
        <v>#REF!</v>
      </c>
      <c r="AM35" s="251" t="str">
        <f ca="1">IF(ISERROR(AL35),"",INDEX(INDIRECT(CT_C1toANT!$G$2),SUM(AL$4:AL35)))</f>
        <v/>
      </c>
      <c r="AN35" s="184" t="b">
        <f t="shared" ca="1" si="1"/>
        <v>0</v>
      </c>
      <c r="AO35" s="184" t="e">
        <f ca="1">MATCH(TRUE,OFFSET(INDIRECT(AN$3),SUM(AO$4:AO34),0),0)</f>
        <v>#N/A</v>
      </c>
      <c r="AP35" s="184" t="e">
        <f ca="1">INDEX(INDIRECT(AK$3),SUM(AO$4:AO35))</f>
        <v>#N/A</v>
      </c>
      <c r="AQ35" s="184" t="b">
        <f ca="1">IF(ISERROR(MATCH(AP35,INDIRECT(ProductTable!$AI$4),0)),FALSE,TRUE)</f>
        <v>0</v>
      </c>
      <c r="AR35" s="184" t="e">
        <f ca="1">MATCH(TRUE,OFFSET(INDIRECT($AQ$3),SUM($AR$4:$AR34),0),0)</f>
        <v>#N/A</v>
      </c>
      <c r="AS35" s="184" t="str">
        <f ca="1">IF(ISERROR(AR35),"",INDEX(INDIRECT(AP$3),SUM(AR$4:AR35)))</f>
        <v/>
      </c>
      <c r="AU35" s="184">
        <f ca="1">IF(OR(EXACT(SelectionTables!$I$4,ProductTable!$L$7),EXACT(SelectionTables!$I$4,"")),"",ProductTable!T38)</f>
        <v>0</v>
      </c>
      <c r="AW35" s="540" t="e">
        <f ca="1">MATCH(TRUE,OFFSET(INDIRECT(INDEX(INDIRECT(CT_STAtoANT!$A$5),MATCH(SelectionTables!$G$4,INDIRECT(CT_STAtoANT!$G$2),0),0)),0,SUM($AW$4:$AW34),1,ProductTable!$H$2-SUM($AW$4:$AW34)),0)</f>
        <v>#REF!</v>
      </c>
      <c r="AX35" s="541" t="e">
        <f ca="1">INDEX(INDIRECT(CT_STAtoANT!$G$3),1,SUM($AW$4:$AW35))</f>
        <v>#REF!</v>
      </c>
      <c r="AY35" s="541" t="b">
        <f ca="1">IF(ISERROR(MATCH(AX35,INDIRECT(ProductTable!$J$4),0)),FALSE,TRUE)</f>
        <v>0</v>
      </c>
      <c r="AZ35" s="541" t="e">
        <f ca="1">MATCH(TRUE,OFFSET(INDIRECT($AY$3),SUM($AZ$4:$AZ34),0,ProductTable!$H$2-SUM($AZ$4:$AZ34),1),0)</f>
        <v>#REF!</v>
      </c>
      <c r="BA35" s="541" t="str">
        <f ca="1">IF(ISERROR($AZ35),"",INDEX(INDIRECT($AX$3),SUM($AZ$4:$AZ35)))</f>
        <v/>
      </c>
      <c r="BB35" s="541" t="e">
        <f ca="1">MATCH(TRUE,OFFSET(INDIRECT(INDEX(INDIRECT(CT_APtoANT!$A$5),MATCH(SelectionTables!$H$4,INDIRECT(CT_APtoANT!$G$2),0),0)),0,SUM($BB$4:$BB34),1,ProductTable!$H$2-SUM($BB$4:$BB34)),0)</f>
        <v>#REF!</v>
      </c>
      <c r="BC35" s="541" t="e">
        <f ca="1">INDEX(INDIRECT(CT_APtoANT!$G$3),1,SUM($BB$4:$BB35))</f>
        <v>#REF!</v>
      </c>
      <c r="BD35" s="541" t="b">
        <f t="shared" ca="1" si="2"/>
        <v>0</v>
      </c>
      <c r="BE35" s="541" t="e">
        <f ca="1">MATCH(TRUE,OFFSET(INDIRECT($BD$3),SUM($BE$4:$BE34),0,ProductTable!$H$2-SUM($BE$4:$BE34),1),0)</f>
        <v>#REF!</v>
      </c>
      <c r="BF35" s="541" t="str">
        <f ca="1">IF(ISERROR($BE35),"",INDEX(INDIRECT($BA$3),SUM($BE$4:$BE35)))</f>
        <v/>
      </c>
      <c r="BH35" s="541" t="e">
        <f ca="1">MATCH(TRUE,OFFSET(INDIRECT(INDEX(INDIRECT(CT_APtoC1!$A$5),MATCH(SelectionTables!$H$4,INDIRECT(CT_APtoC1!$G$2),0),0)),0,SUM($BH$4:$BH34),1,ProductTable!$AG$2-SUM($BH$4:$BH34)),0)</f>
        <v>#REF!</v>
      </c>
      <c r="BI35" s="541" t="e">
        <f ca="1">INDEX(INDIRECT(CT_APtoC1!$G$3),1,SUM($BH$4:$BH35))</f>
        <v>#REF!</v>
      </c>
      <c r="BJ35" s="541" t="b">
        <f ca="1">IF(ISERROR(MATCH(BI35,INDIRECT(ProductTable!$AI$4),0)),FALSE,TRUE)</f>
        <v>0</v>
      </c>
      <c r="BK35" s="541" t="e">
        <f ca="1">MATCH(TRUE,OFFSET(INDIRECT($BJ$3),SUM($BK$4:$BK34),0,ProductTable!$AG$2-SUM($BK$4:$BK34),1),0)</f>
        <v>#N/A</v>
      </c>
      <c r="BL35" s="541" t="str">
        <f ca="1">IF(ISERROR($BK35),"",INDEX(INDIRECT($BI$3),SUM($BK$4:$BK35)))</f>
        <v/>
      </c>
    </row>
    <row r="36" spans="2:64" x14ac:dyDescent="0.25">
      <c r="B36" s="134" t="e">
        <f ca="1">MATCH(TRUE,OFFSET(INDIRECT(INDEX(INDIRECT(CT_APtoWLAN!$A$5),MATCH(SelectionTables!$H$4,INDIRECT(CT_APtoWLAN!$G$2),0),0)),0,SUM($B$4:$B35),1,ProductTable!$W$2-SUM($B$4:$B35)),0)</f>
        <v>#N/A</v>
      </c>
      <c r="C36" s="134" t="e">
        <f ca="1">INDEX(INDIRECT(CT_APtoWLAN!$G$3),1,SUM($B$4:$B36))</f>
        <v>#N/A</v>
      </c>
      <c r="D36" s="134" t="b">
        <f ca="1">IF(ISERROR(MATCH(C36,INDIRECT(ProductTable!$Y$4),0)),FALSE,TRUE)</f>
        <v>0</v>
      </c>
      <c r="E36" s="134" t="e">
        <f ca="1">MATCH(TRUE,OFFSET(INDIRECT($D$3),SUM($E$4:$E35),0,ProductTable!$W$2-SUM($E$4:$E35),1),0)</f>
        <v>#N/A</v>
      </c>
      <c r="F36" s="184" t="str">
        <f ca="1">IF(ISERROR($E36),"",INDEX(INDIRECT($C$3),SUM($E$4:$E36)))</f>
        <v/>
      </c>
      <c r="H36" s="134" t="e">
        <f ca="1">MATCH(TRUE,OFFSET(INDIRECT(INDEX(INDIRECT(CT_APtoSTA!$A$5),MATCH(SelectionTables!$H$4,INDIRECT(CT_APtoSTA!$G$2),0),0)),0,SUM($H$4:$H35),1,ProductTable!$AB$2-SUM($H$4:$H35)),0)</f>
        <v>#REF!</v>
      </c>
      <c r="I36" s="248" t="e">
        <f ca="1">INDEX(INDIRECT(CT_APtoSTA!$G$3),1,SUM($H$4:$H36))</f>
        <v>#REF!</v>
      </c>
      <c r="J36" s="134" t="e">
        <f ca="1">MATCH(TRUE,OFFSET(INDIRECT(INDEX(INDIRECT(CT_STAtoWLAN!$B$4),0,MATCH(SelectionTables!$N$4,INDIRECT(CT_STAtoWLAN!$G$3),0))),SUM($J$4:$J35),0,ProductTable!$AB$2-SUM($J$4:$J35)),0)</f>
        <v>#REF!</v>
      </c>
      <c r="K36" s="248" t="str">
        <f ca="1">IF(ISERROR($J36),"",INDEX(INDIRECT(CT_STAtoWLAN!$G$2),SUM($J$4:$J36)))</f>
        <v/>
      </c>
      <c r="L36" s="184" t="b">
        <f t="shared" ca="1" si="3"/>
        <v>0</v>
      </c>
      <c r="M36" s="184" t="e">
        <f ca="1">MATCH(TRUE,OFFSET(INDIRECT($L$3),SUM($M$4:$M35),0),0)</f>
        <v>#N/A</v>
      </c>
      <c r="N36" s="251" t="str">
        <f ca="1">IF(ISERROR(M36),"",INDEX(INDIRECT($I$3),SUM($M$4:$M36)))</f>
        <v/>
      </c>
      <c r="O36" s="184" t="b">
        <f ca="1">IF(N36="",FALSE,IF(ISERROR(MATCH(N36,INDIRECT(ProductTable!$AD$4),0)),FALSE,TRUE))</f>
        <v>0</v>
      </c>
      <c r="P36" s="184" t="e">
        <f ca="1">MATCH(TRUE,OFFSET(INDIRECT($O$3),SUM($P$4:$P35),0),0)</f>
        <v>#N/A</v>
      </c>
      <c r="Q36" s="184" t="str">
        <f ca="1">IF(ISERROR(P36),"",INDEX(INDIRECT($N$3),SUM($P$4:$P36)))</f>
        <v/>
      </c>
      <c r="S36" s="134" t="e">
        <f ca="1">MATCH(TRUE,OFFSET(INDIRECT(INDEX(INDIRECT(CT_STAtoANT!$A$5),MATCH(SelectionTables!$G$4,INDIRECT(CT_STAtoANT!$G$2),0),0)),0,SUM($S$4:$S35),1,ProductTable!$H$2-SUM($S$4:$S35)),0)</f>
        <v>#REF!</v>
      </c>
      <c r="T36" s="184" t="e">
        <f ca="1">INDEX(INDIRECT(CT_STAtoANT!$G$3),1,SUM($S$4:$S36))</f>
        <v>#REF!</v>
      </c>
      <c r="U36" s="184" t="b">
        <f ca="1">IF(ISERROR(MATCH(T36,INDIRECT(ProductTable!$J$4),0)),FALSE,TRUE)</f>
        <v>0</v>
      </c>
      <c r="V36" s="184" t="e">
        <f ca="1">MATCH(TRUE,OFFSET(INDIRECT($U$3),SUM($V$4:$V35),0,ProductTable!$H$2-SUM($V$4:$V35),1),0)</f>
        <v>#REF!</v>
      </c>
      <c r="W36" s="184" t="str">
        <f ca="1">IF(ISERROR($V36),"",INDEX(INDIRECT($T$3),SUM($V$4:$V36)))</f>
        <v/>
      </c>
      <c r="Y36" s="184" t="e">
        <f ca="1">MATCH(TRUE,OFFSET(INDIRECT(INDEX(INDIRECT(CT_APtoC1!$A$5),MATCH(SelectionTables!$H$4,INDIRECT(CT_APtoC1!$G$2),0),0)),0,SUM($Y$4:$Y35),1,ProductTable!$C$2-SUM($Y$4:$Y35)),0)</f>
        <v>#REF!</v>
      </c>
      <c r="Z36" s="251" t="e">
        <f ca="1">INDEX(INDIRECT(CT_APtoC1!$G$3),1,SUM($Y$4:$Y36))</f>
        <v>#REF!</v>
      </c>
      <c r="AA36" s="184" t="e">
        <f ca="1">MATCH(TRUE,OFFSET(INDIRECT(INDEX(INDIRECT(CT_C1toANT!$B$4),0,MATCH(SelectionTables!$J$4,INDIRECT(CT_C1toANT!$G$3),0))),SUM(AA$4:AA35),0,ProductTable!$M$2-SUM(AA$4:AA35)),0)</f>
        <v>#REF!</v>
      </c>
      <c r="AB36" s="251" t="str">
        <f ca="1">IF(ISERROR(AA36),"",INDEX(INDIRECT(CT_C1toANT!$G$2),SUM(AA$4:AA36)))</f>
        <v/>
      </c>
      <c r="AC36" s="184" t="b">
        <f t="shared" ca="1" si="0"/>
        <v>0</v>
      </c>
      <c r="AD36" s="184" t="e">
        <f ca="1">MATCH(TRUE,OFFSET(INDIRECT($AC$3),SUM($AD$4:$AD35),0),0)</f>
        <v>#N/A</v>
      </c>
      <c r="AE36" s="184" t="e">
        <f ca="1">INDEX(INDIRECT($Z$3),SUM($AD$4:$AD36))</f>
        <v>#N/A</v>
      </c>
      <c r="AF36" s="184" t="b">
        <f ca="1">IF(ISERROR(MATCH(AE36,INDIRECT(ProductTable!$O$4),0)),FALSE,TRUE)</f>
        <v>0</v>
      </c>
      <c r="AG36" s="184" t="e">
        <f ca="1">MATCH(TRUE,OFFSET(INDIRECT($AF$3),SUM($AG$4:$AG35),0),0)</f>
        <v>#N/A</v>
      </c>
      <c r="AH36" s="184" t="str">
        <f ca="1">IF(ISERROR(AG36),"",INDEX(INDIRECT($AE$3),SUM($AG$4:$AG36)))</f>
        <v/>
      </c>
      <c r="AJ36" s="184" t="e">
        <f ca="1">MATCH(TRUE,OFFSET(INDIRECT(INDEX(INDIRECT(CT_SAtoC1!$A$5),MATCH(SelectionTables!$K$4,INDIRECT(CT_SAtoC1!$G$2),0),0)),0,SUM($AJ$4:$AJ35),1,ProductTable!$C$2-SUM($AJ$4:$AJ35)),0)</f>
        <v>#REF!</v>
      </c>
      <c r="AK36" s="251" t="e">
        <f ca="1">INDEX(INDIRECT(CT_SAtoC1!$G$3),1,SUM($AJ$4:$AJ36))</f>
        <v>#REF!</v>
      </c>
      <c r="AL36" s="184" t="e">
        <f ca="1">MATCH(TRUE,OFFSET(INDIRECT(INDEX(INDIRECT(CT_C1toANT!$B$4),0,MATCH(SelectionTables!$J$4,INDIRECT(CT_C1toANT!$G$3),0))),SUM(AL$4:AL35),0,ProductTable!$M$2-SUM(AL$4:AL35)),0)</f>
        <v>#REF!</v>
      </c>
      <c r="AM36" s="251" t="str">
        <f ca="1">IF(ISERROR(AL36),"",INDEX(INDIRECT(CT_C1toANT!$G$2),SUM(AL$4:AL36)))</f>
        <v/>
      </c>
      <c r="AN36" s="184" t="b">
        <f t="shared" ca="1" si="1"/>
        <v>0</v>
      </c>
      <c r="AO36" s="184" t="e">
        <f ca="1">MATCH(TRUE,OFFSET(INDIRECT(AN$3),SUM(AO$4:AO35),0),0)</f>
        <v>#N/A</v>
      </c>
      <c r="AP36" s="184" t="e">
        <f ca="1">INDEX(INDIRECT(AK$3),SUM(AO$4:AO36))</f>
        <v>#N/A</v>
      </c>
      <c r="AQ36" s="184" t="b">
        <f ca="1">IF(ISERROR(MATCH(AP36,INDIRECT(ProductTable!$AI$4),0)),FALSE,TRUE)</f>
        <v>0</v>
      </c>
      <c r="AR36" s="184" t="e">
        <f ca="1">MATCH(TRUE,OFFSET(INDIRECT($AQ$3),SUM($AR$4:$AR35),0),0)</f>
        <v>#N/A</v>
      </c>
      <c r="AS36" s="184" t="str">
        <f ca="1">IF(ISERROR(AR36),"",INDEX(INDIRECT(AP$3),SUM(AR$4:AR36)))</f>
        <v/>
      </c>
      <c r="AU36" s="184">
        <f ca="1">IF(OR(EXACT(SelectionTables!$I$4,ProductTable!$L$7),EXACT(SelectionTables!$I$4,"")),"",ProductTable!T39)</f>
        <v>0</v>
      </c>
      <c r="AW36" s="540" t="e">
        <f ca="1">MATCH(TRUE,OFFSET(INDIRECT(INDEX(INDIRECT(CT_STAtoANT!$A$5),MATCH(SelectionTables!$G$4,INDIRECT(CT_STAtoANT!$G$2),0),0)),0,SUM($AW$4:$AW35),1,ProductTable!$H$2-SUM($AW$4:$AW35)),0)</f>
        <v>#REF!</v>
      </c>
      <c r="AX36" s="541" t="e">
        <f ca="1">INDEX(INDIRECT(CT_STAtoANT!$G$3),1,SUM($AW$4:$AW36))</f>
        <v>#REF!</v>
      </c>
      <c r="AY36" s="541" t="b">
        <f ca="1">IF(ISERROR(MATCH(AX36,INDIRECT(ProductTable!$J$4),0)),FALSE,TRUE)</f>
        <v>0</v>
      </c>
      <c r="AZ36" s="541" t="e">
        <f ca="1">MATCH(TRUE,OFFSET(INDIRECT($AY$3),SUM($AZ$4:$AZ35),0,ProductTable!$H$2-SUM($AZ$4:$AZ35),1),0)</f>
        <v>#REF!</v>
      </c>
      <c r="BA36" s="541" t="str">
        <f ca="1">IF(ISERROR($AZ36),"",INDEX(INDIRECT($AX$3),SUM($AZ$4:$AZ36)))</f>
        <v/>
      </c>
      <c r="BB36" s="541" t="e">
        <f ca="1">MATCH(TRUE,OFFSET(INDIRECT(INDEX(INDIRECT(CT_APtoANT!$A$5),MATCH(SelectionTables!$H$4,INDIRECT(CT_APtoANT!$G$2),0),0)),0,SUM($BB$4:$BB35),1,ProductTable!$H$2-SUM($BB$4:$BB35)),0)</f>
        <v>#REF!</v>
      </c>
      <c r="BC36" s="541" t="e">
        <f ca="1">INDEX(INDIRECT(CT_APtoANT!$G$3),1,SUM($BB$4:$BB36))</f>
        <v>#REF!</v>
      </c>
      <c r="BD36" s="541" t="b">
        <f t="shared" ca="1" si="2"/>
        <v>0</v>
      </c>
      <c r="BE36" s="541" t="e">
        <f ca="1">MATCH(TRUE,OFFSET(INDIRECT($BD$3),SUM($BE$4:$BE35),0,ProductTable!$H$2-SUM($BE$4:$BE35),1),0)</f>
        <v>#REF!</v>
      </c>
      <c r="BF36" s="541" t="str">
        <f ca="1">IF(ISERROR($BE36),"",INDEX(INDIRECT($BA$3),SUM($BE$4:$BE36)))</f>
        <v/>
      </c>
      <c r="BH36" s="541" t="e">
        <f ca="1">MATCH(TRUE,OFFSET(INDIRECT(INDEX(INDIRECT(CT_APtoC1!$A$5),MATCH(SelectionTables!$H$4,INDIRECT(CT_APtoC1!$G$2),0),0)),0,SUM($BH$4:$BH35),1,ProductTable!$AG$2-SUM($BH$4:$BH35)),0)</f>
        <v>#REF!</v>
      </c>
      <c r="BI36" s="541" t="e">
        <f ca="1">INDEX(INDIRECT(CT_APtoC1!$G$3),1,SUM($BH$4:$BH36))</f>
        <v>#REF!</v>
      </c>
      <c r="BJ36" s="541" t="b">
        <f ca="1">IF(ISERROR(MATCH(BI36,INDIRECT(ProductTable!$AI$4),0)),FALSE,TRUE)</f>
        <v>0</v>
      </c>
      <c r="BK36" s="541" t="e">
        <f ca="1">MATCH(TRUE,OFFSET(INDIRECT($BJ$3),SUM($BK$4:$BK35),0,ProductTable!$AG$2-SUM($BK$4:$BK35),1),0)</f>
        <v>#N/A</v>
      </c>
      <c r="BL36" s="541" t="str">
        <f ca="1">IF(ISERROR($BK36),"",INDEX(INDIRECT($BI$3),SUM($BK$4:$BK36)))</f>
        <v/>
      </c>
    </row>
    <row r="37" spans="2:64" x14ac:dyDescent="0.25">
      <c r="B37" s="134" t="e">
        <f ca="1">MATCH(TRUE,OFFSET(INDIRECT(INDEX(INDIRECT(CT_APtoWLAN!$A$5),MATCH(SelectionTables!$H$4,INDIRECT(CT_APtoWLAN!$G$2),0),0)),0,SUM($B$4:$B36),1,ProductTable!$W$2-SUM($B$4:$B36)),0)</f>
        <v>#N/A</v>
      </c>
      <c r="C37" s="134" t="e">
        <f ca="1">INDEX(INDIRECT(CT_APtoWLAN!$G$3),1,SUM($B$4:$B37))</f>
        <v>#N/A</v>
      </c>
      <c r="D37" s="134" t="b">
        <f ca="1">IF(ISERROR(MATCH(C37,INDIRECT(ProductTable!$Y$4),0)),FALSE,TRUE)</f>
        <v>0</v>
      </c>
      <c r="E37" s="134" t="e">
        <f ca="1">MATCH(TRUE,OFFSET(INDIRECT($D$3),SUM($E$4:$E36),0,ProductTable!$W$2-SUM($E$4:$E36),1),0)</f>
        <v>#N/A</v>
      </c>
      <c r="F37" s="184" t="str">
        <f ca="1">IF(ISERROR($E37),"",INDEX(INDIRECT($C$3),SUM($E$4:$E37)))</f>
        <v/>
      </c>
      <c r="H37" s="134" t="e">
        <f ca="1">MATCH(TRUE,OFFSET(INDIRECT(INDEX(INDIRECT(CT_APtoSTA!$A$5),MATCH(SelectionTables!$H$4,INDIRECT(CT_APtoSTA!$G$2),0),0)),0,SUM($H$4:$H36),1,ProductTable!$AB$2-SUM($H$4:$H36)),0)</f>
        <v>#REF!</v>
      </c>
      <c r="I37" s="248" t="e">
        <f ca="1">INDEX(INDIRECT(CT_APtoSTA!$G$3),1,SUM($H$4:$H37))</f>
        <v>#REF!</v>
      </c>
      <c r="J37" s="134" t="e">
        <f ca="1">MATCH(TRUE,OFFSET(INDIRECT(INDEX(INDIRECT(CT_STAtoWLAN!$B$4),0,MATCH(SelectionTables!$N$4,INDIRECT(CT_STAtoWLAN!$G$3),0))),SUM($J$4:$J36),0,ProductTable!$AB$2-SUM($J$4:$J36)),0)</f>
        <v>#REF!</v>
      </c>
      <c r="K37" s="248" t="str">
        <f ca="1">IF(ISERROR($J37),"",INDEX(INDIRECT(CT_STAtoWLAN!$G$2),SUM($J$4:$J37)))</f>
        <v/>
      </c>
      <c r="L37" s="184" t="b">
        <f t="shared" ca="1" si="3"/>
        <v>0</v>
      </c>
      <c r="M37" s="184" t="e">
        <f ca="1">MATCH(TRUE,OFFSET(INDIRECT($L$3),SUM($M$4:$M36),0),0)</f>
        <v>#N/A</v>
      </c>
      <c r="N37" s="251" t="str">
        <f ca="1">IF(ISERROR(M37),"",INDEX(INDIRECT($I$3),SUM($M$4:$M37)))</f>
        <v/>
      </c>
      <c r="O37" s="184" t="b">
        <f ca="1">IF(N37="",FALSE,IF(ISERROR(MATCH(N37,INDIRECT(ProductTable!$AD$4),0)),FALSE,TRUE))</f>
        <v>0</v>
      </c>
      <c r="P37" s="184" t="e">
        <f ca="1">MATCH(TRUE,OFFSET(INDIRECT($O$3),SUM($P$4:$P36),0),0)</f>
        <v>#N/A</v>
      </c>
      <c r="Q37" s="184" t="str">
        <f ca="1">IF(ISERROR(P37),"",INDEX(INDIRECT($N$3),SUM($P$4:$P37)))</f>
        <v/>
      </c>
      <c r="S37" s="134" t="e">
        <f ca="1">MATCH(TRUE,OFFSET(INDIRECT(INDEX(INDIRECT(CT_STAtoANT!$A$5),MATCH(SelectionTables!$G$4,INDIRECT(CT_STAtoANT!$G$2),0),0)),0,SUM($S$4:$S36),1,ProductTable!$H$2-SUM($S$4:$S36)),0)</f>
        <v>#REF!</v>
      </c>
      <c r="T37" s="184" t="e">
        <f ca="1">INDEX(INDIRECT(CT_STAtoANT!$G$3),1,SUM($S$4:$S37))</f>
        <v>#REF!</v>
      </c>
      <c r="U37" s="184" t="b">
        <f ca="1">IF(ISERROR(MATCH(T37,INDIRECT(ProductTable!$J$4),0)),FALSE,TRUE)</f>
        <v>0</v>
      </c>
      <c r="V37" s="184" t="e">
        <f ca="1">MATCH(TRUE,OFFSET(INDIRECT($U$3),SUM($V$4:$V36),0,ProductTable!$H$2-SUM($V$4:$V36),1),0)</f>
        <v>#REF!</v>
      </c>
      <c r="W37" s="184" t="str">
        <f ca="1">IF(ISERROR($V37),"",INDEX(INDIRECT($T$3),SUM($V$4:$V37)))</f>
        <v/>
      </c>
      <c r="Y37" s="184" t="e">
        <f ca="1">MATCH(TRUE,OFFSET(INDIRECT(INDEX(INDIRECT(CT_APtoC1!$A$5),MATCH(SelectionTables!$H$4,INDIRECT(CT_APtoC1!$G$2),0),0)),0,SUM($Y$4:$Y36),1,ProductTable!$C$2-SUM($Y$4:$Y36)),0)</f>
        <v>#REF!</v>
      </c>
      <c r="Z37" s="251" t="e">
        <f ca="1">INDEX(INDIRECT(CT_APtoC1!$G$3),1,SUM($Y$4:$Y37))</f>
        <v>#REF!</v>
      </c>
      <c r="AA37" s="184" t="e">
        <f ca="1">MATCH(TRUE,OFFSET(INDIRECT(INDEX(INDIRECT(CT_C1toANT!$B$4),0,MATCH(SelectionTables!$J$4,INDIRECT(CT_C1toANT!$G$3),0))),SUM(AA$4:AA36),0,ProductTable!$M$2-SUM(AA$4:AA36)),0)</f>
        <v>#REF!</v>
      </c>
      <c r="AB37" s="251" t="str">
        <f ca="1">IF(ISERROR(AA37),"",INDEX(INDIRECT(CT_C1toANT!$G$2),SUM(AA$4:AA37)))</f>
        <v/>
      </c>
      <c r="AC37" s="184" t="b">
        <f t="shared" ca="1" si="0"/>
        <v>0</v>
      </c>
      <c r="AD37" s="184" t="e">
        <f ca="1">MATCH(TRUE,OFFSET(INDIRECT($AC$3),SUM($AD$4:$AD36),0),0)</f>
        <v>#N/A</v>
      </c>
      <c r="AE37" s="184" t="e">
        <f ca="1">INDEX(INDIRECT($Z$3),SUM($AD$4:$AD37))</f>
        <v>#N/A</v>
      </c>
      <c r="AF37" s="184" t="b">
        <f ca="1">IF(ISERROR(MATCH(AE37,INDIRECT(ProductTable!$O$4),0)),FALSE,TRUE)</f>
        <v>0</v>
      </c>
      <c r="AG37" s="184" t="e">
        <f ca="1">MATCH(TRUE,OFFSET(INDIRECT($AF$3),SUM($AG$4:$AG36),0),0)</f>
        <v>#N/A</v>
      </c>
      <c r="AH37" s="184" t="str">
        <f ca="1">IF(ISERROR(AG37),"",INDEX(INDIRECT($AE$3),SUM($AG$4:$AG37)))</f>
        <v/>
      </c>
      <c r="AJ37" s="184" t="e">
        <f ca="1">MATCH(TRUE,OFFSET(INDIRECT(INDEX(INDIRECT(CT_SAtoC1!$A$5),MATCH(SelectionTables!$K$4,INDIRECT(CT_SAtoC1!$G$2),0),0)),0,SUM($AJ$4:$AJ36),1,ProductTable!$C$2-SUM($AJ$4:$AJ36)),0)</f>
        <v>#REF!</v>
      </c>
      <c r="AK37" s="251" t="e">
        <f ca="1">INDEX(INDIRECT(CT_SAtoC1!$G$3),1,SUM($AJ$4:$AJ37))</f>
        <v>#REF!</v>
      </c>
      <c r="AL37" s="184" t="e">
        <f ca="1">MATCH(TRUE,OFFSET(INDIRECT(INDEX(INDIRECT(CT_C1toANT!$B$4),0,MATCH(SelectionTables!$J$4,INDIRECT(CT_C1toANT!$G$3),0))),SUM(AL$4:AL36),0,ProductTable!$M$2-SUM(AL$4:AL36)),0)</f>
        <v>#REF!</v>
      </c>
      <c r="AM37" s="251" t="str">
        <f ca="1">IF(ISERROR(AL37),"",INDEX(INDIRECT(CT_C1toANT!$G$2),SUM(AL$4:AL37)))</f>
        <v/>
      </c>
      <c r="AN37" s="184" t="b">
        <f t="shared" ca="1" si="1"/>
        <v>0</v>
      </c>
      <c r="AO37" s="184" t="e">
        <f ca="1">MATCH(TRUE,OFFSET(INDIRECT(AN$3),SUM(AO$4:AO36),0),0)</f>
        <v>#N/A</v>
      </c>
      <c r="AP37" s="184" t="e">
        <f ca="1">INDEX(INDIRECT(AK$3),SUM(AO$4:AO37))</f>
        <v>#N/A</v>
      </c>
      <c r="AQ37" s="184" t="b">
        <f ca="1">IF(ISERROR(MATCH(AP37,INDIRECT(ProductTable!$AI$4),0)),FALSE,TRUE)</f>
        <v>0</v>
      </c>
      <c r="AR37" s="184" t="e">
        <f ca="1">MATCH(TRUE,OFFSET(INDIRECT($AQ$3),SUM($AR$4:$AR36),0),0)</f>
        <v>#N/A</v>
      </c>
      <c r="AS37" s="184" t="str">
        <f ca="1">IF(ISERROR(AR37),"",INDEX(INDIRECT(AP$3),SUM(AR$4:AR37)))</f>
        <v/>
      </c>
      <c r="AU37" s="184">
        <f ca="1">IF(OR(EXACT(SelectionTables!$I$4,ProductTable!$L$7),EXACT(SelectionTables!$I$4,"")),"",ProductTable!T40)</f>
        <v>0</v>
      </c>
      <c r="AW37" s="540" t="e">
        <f ca="1">MATCH(TRUE,OFFSET(INDIRECT(INDEX(INDIRECT(CT_STAtoANT!$A$5),MATCH(SelectionTables!$G$4,INDIRECT(CT_STAtoANT!$G$2),0),0)),0,SUM($AW$4:$AW36),1,ProductTable!$H$2-SUM($AW$4:$AW36)),0)</f>
        <v>#REF!</v>
      </c>
      <c r="AX37" s="541" t="e">
        <f ca="1">INDEX(INDIRECT(CT_STAtoANT!$G$3),1,SUM($AW$4:$AW37))</f>
        <v>#REF!</v>
      </c>
      <c r="AY37" s="541" t="b">
        <f ca="1">IF(ISERROR(MATCH(AX37,INDIRECT(ProductTable!$J$4),0)),FALSE,TRUE)</f>
        <v>0</v>
      </c>
      <c r="AZ37" s="541" t="e">
        <f ca="1">MATCH(TRUE,OFFSET(INDIRECT($AY$3),SUM($AZ$4:$AZ36),0,ProductTable!$H$2-SUM($AZ$4:$AZ36),1),0)</f>
        <v>#REF!</v>
      </c>
      <c r="BA37" s="541" t="str">
        <f ca="1">IF(ISERROR($AZ37),"",INDEX(INDIRECT($AX$3),SUM($AZ$4:$AZ37)))</f>
        <v/>
      </c>
      <c r="BB37" s="541" t="e">
        <f ca="1">MATCH(TRUE,OFFSET(INDIRECT(INDEX(INDIRECT(CT_APtoANT!$A$5),MATCH(SelectionTables!$H$4,INDIRECT(CT_APtoANT!$G$2),0),0)),0,SUM($BB$4:$BB36),1,ProductTable!$H$2-SUM($BB$4:$BB36)),0)</f>
        <v>#REF!</v>
      </c>
      <c r="BC37" s="541" t="e">
        <f ca="1">INDEX(INDIRECT(CT_APtoANT!$G$3),1,SUM($BB$4:$BB37))</f>
        <v>#REF!</v>
      </c>
      <c r="BD37" s="541" t="b">
        <f t="shared" ca="1" si="2"/>
        <v>0</v>
      </c>
      <c r="BE37" s="541" t="e">
        <f ca="1">MATCH(TRUE,OFFSET(INDIRECT($BD$3),SUM($BE$4:$BE36),0,ProductTable!$H$2-SUM($BE$4:$BE36),1),0)</f>
        <v>#REF!</v>
      </c>
      <c r="BF37" s="541" t="str">
        <f ca="1">IF(ISERROR($BE37),"",INDEX(INDIRECT($BA$3),SUM($BE$4:$BE37)))</f>
        <v/>
      </c>
      <c r="BH37" s="541" t="e">
        <f ca="1">MATCH(TRUE,OFFSET(INDIRECT(INDEX(INDIRECT(CT_APtoC1!$A$5),MATCH(SelectionTables!$H$4,INDIRECT(CT_APtoC1!$G$2),0),0)),0,SUM($BH$4:$BH36),1,ProductTable!$AG$2-SUM($BH$4:$BH36)),0)</f>
        <v>#REF!</v>
      </c>
      <c r="BI37" s="541" t="e">
        <f ca="1">INDEX(INDIRECT(CT_APtoC1!$G$3),1,SUM($BH$4:$BH37))</f>
        <v>#REF!</v>
      </c>
      <c r="BJ37" s="541" t="b">
        <f ca="1">IF(ISERROR(MATCH(BI37,INDIRECT(ProductTable!$AI$4),0)),FALSE,TRUE)</f>
        <v>0</v>
      </c>
      <c r="BK37" s="541" t="e">
        <f ca="1">MATCH(TRUE,OFFSET(INDIRECT($BJ$3),SUM($BK$4:$BK36),0,ProductTable!$AG$2-SUM($BK$4:$BK36),1),0)</f>
        <v>#N/A</v>
      </c>
      <c r="BL37" s="541" t="str">
        <f ca="1">IF(ISERROR($BK37),"",INDEX(INDIRECT($BI$3),SUM($BK$4:$BK37)))</f>
        <v/>
      </c>
    </row>
    <row r="38" spans="2:64" x14ac:dyDescent="0.25">
      <c r="B38" s="134" t="e">
        <f ca="1">MATCH(TRUE,OFFSET(INDIRECT(INDEX(INDIRECT(CT_APtoWLAN!$A$5),MATCH(SelectionTables!$H$4,INDIRECT(CT_APtoWLAN!$G$2),0),0)),0,SUM($B$4:$B37),1,ProductTable!$W$2-SUM($B$4:$B37)),0)</f>
        <v>#N/A</v>
      </c>
      <c r="C38" s="134" t="e">
        <f ca="1">INDEX(INDIRECT(CT_APtoWLAN!$G$3),1,SUM($B$4:$B38))</f>
        <v>#N/A</v>
      </c>
      <c r="D38" s="134" t="b">
        <f ca="1">IF(ISERROR(MATCH(C38,INDIRECT(ProductTable!$Y$4),0)),FALSE,TRUE)</f>
        <v>0</v>
      </c>
      <c r="E38" s="134" t="e">
        <f ca="1">MATCH(TRUE,OFFSET(INDIRECT($D$3),SUM($E$4:$E37),0,ProductTable!$W$2-SUM($E$4:$E37),1),0)</f>
        <v>#N/A</v>
      </c>
      <c r="F38" s="184" t="str">
        <f ca="1">IF(ISERROR($E38),"",INDEX(INDIRECT($C$3),SUM($E$4:$E38)))</f>
        <v/>
      </c>
      <c r="H38" s="134" t="e">
        <f ca="1">MATCH(TRUE,OFFSET(INDIRECT(INDEX(INDIRECT(CT_APtoSTA!$A$5),MATCH(SelectionTables!$H$4,INDIRECT(CT_APtoSTA!$G$2),0),0)),0,SUM($H$4:$H37),1,ProductTable!$AB$2-SUM($H$4:$H37)),0)</f>
        <v>#REF!</v>
      </c>
      <c r="I38" s="248" t="e">
        <f ca="1">INDEX(INDIRECT(CT_APtoSTA!$G$3),1,SUM($H$4:$H38))</f>
        <v>#REF!</v>
      </c>
      <c r="J38" s="134" t="e">
        <f ca="1">MATCH(TRUE,OFFSET(INDIRECT(INDEX(INDIRECT(CT_STAtoWLAN!$B$4),0,MATCH(SelectionTables!$N$4,INDIRECT(CT_STAtoWLAN!$G$3),0))),SUM($J$4:$J37),0,ProductTable!$AB$2-SUM($J$4:$J37)),0)</f>
        <v>#REF!</v>
      </c>
      <c r="K38" s="248" t="str">
        <f ca="1">IF(ISERROR($J38),"",INDEX(INDIRECT(CT_STAtoWLAN!$G$2),SUM($J$4:$J38)))</f>
        <v/>
      </c>
      <c r="L38" s="184" t="b">
        <f t="shared" ca="1" si="3"/>
        <v>0</v>
      </c>
      <c r="M38" s="184" t="e">
        <f ca="1">MATCH(TRUE,OFFSET(INDIRECT($L$3),SUM($M$4:$M37),0),0)</f>
        <v>#N/A</v>
      </c>
      <c r="N38" s="251" t="str">
        <f ca="1">IF(ISERROR(M38),"",INDEX(INDIRECT($I$3),SUM($M$4:$M38)))</f>
        <v/>
      </c>
      <c r="O38" s="184" t="b">
        <f ca="1">IF(N38="",FALSE,IF(ISERROR(MATCH(N38,INDIRECT(ProductTable!$AD$4),0)),FALSE,TRUE))</f>
        <v>0</v>
      </c>
      <c r="P38" s="184" t="e">
        <f ca="1">MATCH(TRUE,OFFSET(INDIRECT($O$3),SUM($P$4:$P37),0),0)</f>
        <v>#N/A</v>
      </c>
      <c r="Q38" s="184" t="str">
        <f ca="1">IF(ISERROR(P38),"",INDEX(INDIRECT($N$3),SUM($P$4:$P38)))</f>
        <v/>
      </c>
      <c r="S38" s="134" t="e">
        <f ca="1">MATCH(TRUE,OFFSET(INDIRECT(INDEX(INDIRECT(CT_STAtoANT!$A$5),MATCH(SelectionTables!$G$4,INDIRECT(CT_STAtoANT!$G$2),0),0)),0,SUM($S$4:$S37),1,ProductTable!$H$2-SUM($S$4:$S37)),0)</f>
        <v>#REF!</v>
      </c>
      <c r="T38" s="184" t="e">
        <f ca="1">INDEX(INDIRECT(CT_STAtoANT!$G$3),1,SUM($S$4:$S38))</f>
        <v>#REF!</v>
      </c>
      <c r="U38" s="184" t="b">
        <f ca="1">IF(ISERROR(MATCH(T38,INDIRECT(ProductTable!$J$4),0)),FALSE,TRUE)</f>
        <v>0</v>
      </c>
      <c r="V38" s="184" t="e">
        <f ca="1">MATCH(TRUE,OFFSET(INDIRECT($U$3),SUM($V$4:$V37),0,ProductTable!$H$2-SUM($V$4:$V37),1),0)</f>
        <v>#REF!</v>
      </c>
      <c r="W38" s="184" t="str">
        <f ca="1">IF(ISERROR($V38),"",INDEX(INDIRECT($T$3),SUM($V$4:$V38)))</f>
        <v/>
      </c>
      <c r="Y38" s="184" t="e">
        <f ca="1">MATCH(TRUE,OFFSET(INDIRECT(INDEX(INDIRECT(CT_APtoC1!$A$5),MATCH(SelectionTables!$H$4,INDIRECT(CT_APtoC1!$G$2),0),0)),0,SUM($Y$4:$Y37),1,ProductTable!$C$2-SUM($Y$4:$Y37)),0)</f>
        <v>#REF!</v>
      </c>
      <c r="Z38" s="251" t="e">
        <f ca="1">INDEX(INDIRECT(CT_APtoC1!$G$3),1,SUM($Y$4:$Y38))</f>
        <v>#REF!</v>
      </c>
      <c r="AA38" s="184" t="e">
        <f ca="1">MATCH(TRUE,OFFSET(INDIRECT(INDEX(INDIRECT(CT_C1toANT!$B$4),0,MATCH(SelectionTables!$J$4,INDIRECT(CT_C1toANT!$G$3),0))),SUM(AA$4:AA37),0,ProductTable!$M$2-SUM(AA$4:AA37)),0)</f>
        <v>#REF!</v>
      </c>
      <c r="AB38" s="251" t="str">
        <f ca="1">IF(ISERROR(AA38),"",INDEX(INDIRECT(CT_C1toANT!$G$2),SUM(AA$4:AA38)))</f>
        <v/>
      </c>
      <c r="AC38" s="184" t="b">
        <f t="shared" ca="1" si="0"/>
        <v>0</v>
      </c>
      <c r="AD38" s="184" t="e">
        <f ca="1">MATCH(TRUE,OFFSET(INDIRECT($AC$3),SUM($AD$4:$AD37),0),0)</f>
        <v>#N/A</v>
      </c>
      <c r="AE38" s="184" t="e">
        <f ca="1">INDEX(INDIRECT($Z$3),SUM($AD$4:$AD38))</f>
        <v>#N/A</v>
      </c>
      <c r="AF38" s="184" t="b">
        <f ca="1">IF(ISERROR(MATCH(AE38,INDIRECT(ProductTable!$O$4),0)),FALSE,TRUE)</f>
        <v>0</v>
      </c>
      <c r="AG38" s="184" t="e">
        <f ca="1">MATCH(TRUE,OFFSET(INDIRECT($AF$3),SUM($AG$4:$AG37),0),0)</f>
        <v>#N/A</v>
      </c>
      <c r="AH38" s="184" t="str">
        <f ca="1">IF(ISERROR(AG38),"",INDEX(INDIRECT($AE$3),SUM($AG$4:$AG38)))</f>
        <v/>
      </c>
      <c r="AJ38" s="184" t="e">
        <f ca="1">MATCH(TRUE,OFFSET(INDIRECT(INDEX(INDIRECT(CT_SAtoC1!$A$5),MATCH(SelectionTables!$K$4,INDIRECT(CT_SAtoC1!$G$2),0),0)),0,SUM($AJ$4:$AJ37),1,ProductTable!$C$2-SUM($AJ$4:$AJ37)),0)</f>
        <v>#REF!</v>
      </c>
      <c r="AK38" s="251" t="e">
        <f ca="1">INDEX(INDIRECT(CT_SAtoC1!$G$3),1,SUM($AJ$4:$AJ38))</f>
        <v>#REF!</v>
      </c>
      <c r="AL38" s="184" t="e">
        <f ca="1">MATCH(TRUE,OFFSET(INDIRECT(INDEX(INDIRECT(CT_C1toANT!$B$4),0,MATCH(SelectionTables!$J$4,INDIRECT(CT_C1toANT!$G$3),0))),SUM(AL$4:AL37),0,ProductTable!$M$2-SUM(AL$4:AL37)),0)</f>
        <v>#REF!</v>
      </c>
      <c r="AM38" s="251" t="str">
        <f ca="1">IF(ISERROR(AL38),"",INDEX(INDIRECT(CT_C1toANT!$G$2),SUM(AL$4:AL38)))</f>
        <v/>
      </c>
      <c r="AN38" s="184" t="b">
        <f t="shared" ca="1" si="1"/>
        <v>0</v>
      </c>
      <c r="AO38" s="184" t="e">
        <f ca="1">MATCH(TRUE,OFFSET(INDIRECT(AN$3),SUM(AO$4:AO37),0),0)</f>
        <v>#N/A</v>
      </c>
      <c r="AP38" s="184" t="e">
        <f ca="1">INDEX(INDIRECT(AK$3),SUM(AO$4:AO38))</f>
        <v>#N/A</v>
      </c>
      <c r="AQ38" s="184" t="b">
        <f ca="1">IF(ISERROR(MATCH(AP38,INDIRECT(ProductTable!$AI$4),0)),FALSE,TRUE)</f>
        <v>0</v>
      </c>
      <c r="AR38" s="184" t="e">
        <f ca="1">MATCH(TRUE,OFFSET(INDIRECT($AQ$3),SUM($AR$4:$AR37),0),0)</f>
        <v>#N/A</v>
      </c>
      <c r="AS38" s="184" t="str">
        <f ca="1">IF(ISERROR(AR38),"",INDEX(INDIRECT(AP$3),SUM(AR$4:AR38)))</f>
        <v/>
      </c>
      <c r="AU38" s="184">
        <f ca="1">IF(OR(EXACT(SelectionTables!$I$4,ProductTable!$L$7),EXACT(SelectionTables!$I$4,"")),"",ProductTable!T41)</f>
        <v>0</v>
      </c>
      <c r="AW38" s="540" t="e">
        <f ca="1">MATCH(TRUE,OFFSET(INDIRECT(INDEX(INDIRECT(CT_STAtoANT!$A$5),MATCH(SelectionTables!$G$4,INDIRECT(CT_STAtoANT!$G$2),0),0)),0,SUM($AW$4:$AW37),1,ProductTable!$H$2-SUM($AW$4:$AW37)),0)</f>
        <v>#REF!</v>
      </c>
      <c r="AX38" s="541" t="e">
        <f ca="1">INDEX(INDIRECT(CT_STAtoANT!$G$3),1,SUM($AW$4:$AW38))</f>
        <v>#REF!</v>
      </c>
      <c r="AY38" s="541" t="b">
        <f ca="1">IF(ISERROR(MATCH(AX38,INDIRECT(ProductTable!$J$4),0)),FALSE,TRUE)</f>
        <v>0</v>
      </c>
      <c r="AZ38" s="541" t="e">
        <f ca="1">MATCH(TRUE,OFFSET(INDIRECT($AY$3),SUM($AZ$4:$AZ37),0,ProductTable!$H$2-SUM($AZ$4:$AZ37),1),0)</f>
        <v>#REF!</v>
      </c>
      <c r="BA38" s="541" t="str">
        <f ca="1">IF(ISERROR($AZ38),"",INDEX(INDIRECT($AX$3),SUM($AZ$4:$AZ38)))</f>
        <v/>
      </c>
      <c r="BB38" s="541" t="e">
        <f ca="1">MATCH(TRUE,OFFSET(INDIRECT(INDEX(INDIRECT(CT_APtoANT!$A$5),MATCH(SelectionTables!$H$4,INDIRECT(CT_APtoANT!$G$2),0),0)),0,SUM($BB$4:$BB37),1,ProductTable!$H$2-SUM($BB$4:$BB37)),0)</f>
        <v>#REF!</v>
      </c>
      <c r="BC38" s="541" t="e">
        <f ca="1">INDEX(INDIRECT(CT_APtoANT!$G$3),1,SUM($BB$4:$BB38))</f>
        <v>#REF!</v>
      </c>
      <c r="BD38" s="541" t="b">
        <f t="shared" ca="1" si="2"/>
        <v>0</v>
      </c>
      <c r="BE38" s="541" t="e">
        <f ca="1">MATCH(TRUE,OFFSET(INDIRECT($BD$3),SUM($BE$4:$BE37),0,ProductTable!$H$2-SUM($BE$4:$BE37),1),0)</f>
        <v>#REF!</v>
      </c>
      <c r="BF38" s="541" t="str">
        <f ca="1">IF(ISERROR($BE38),"",INDEX(INDIRECT($BA$3),SUM($BE$4:$BE38)))</f>
        <v/>
      </c>
      <c r="BH38" s="541" t="e">
        <f ca="1">MATCH(TRUE,OFFSET(INDIRECT(INDEX(INDIRECT(CT_APtoC1!$A$5),MATCH(SelectionTables!$H$4,INDIRECT(CT_APtoC1!$G$2),0),0)),0,SUM($BH$4:$BH37),1,ProductTable!$AG$2-SUM($BH$4:$BH37)),0)</f>
        <v>#REF!</v>
      </c>
      <c r="BI38" s="541" t="e">
        <f ca="1">INDEX(INDIRECT(CT_APtoC1!$G$3),1,SUM($BH$4:$BH38))</f>
        <v>#REF!</v>
      </c>
      <c r="BJ38" s="541" t="b">
        <f ca="1">IF(ISERROR(MATCH(BI38,INDIRECT(ProductTable!$AI$4),0)),FALSE,TRUE)</f>
        <v>0</v>
      </c>
      <c r="BK38" s="541" t="e">
        <f ca="1">MATCH(TRUE,OFFSET(INDIRECT($BJ$3),SUM($BK$4:$BK37),0,ProductTable!$AG$2-SUM($BK$4:$BK37),1),0)</f>
        <v>#N/A</v>
      </c>
      <c r="BL38" s="541" t="str">
        <f ca="1">IF(ISERROR($BK38),"",INDEX(INDIRECT($BI$3),SUM($BK$4:$BK38)))</f>
        <v/>
      </c>
    </row>
    <row r="39" spans="2:64" x14ac:dyDescent="0.25">
      <c r="B39" s="134" t="e">
        <f ca="1">MATCH(TRUE,OFFSET(INDIRECT(INDEX(INDIRECT(CT_APtoWLAN!$A$5),MATCH(SelectionTables!$H$4,INDIRECT(CT_APtoWLAN!$G$2),0),0)),0,SUM($B$4:$B38),1,ProductTable!$W$2-SUM($B$4:$B38)),0)</f>
        <v>#N/A</v>
      </c>
      <c r="C39" s="134" t="e">
        <f ca="1">INDEX(INDIRECT(CT_APtoWLAN!$G$3),1,SUM($B$4:$B39))</f>
        <v>#N/A</v>
      </c>
      <c r="D39" s="134" t="b">
        <f ca="1">IF(ISERROR(MATCH(C39,INDIRECT(ProductTable!$Y$4),0)),FALSE,TRUE)</f>
        <v>0</v>
      </c>
      <c r="E39" s="134" t="e">
        <f ca="1">MATCH(TRUE,OFFSET(INDIRECT($D$3),SUM($E$4:$E38),0,ProductTable!$W$2-SUM($E$4:$E38),1),0)</f>
        <v>#N/A</v>
      </c>
      <c r="F39" s="184" t="str">
        <f ca="1">IF(ISERROR($E39),"",INDEX(INDIRECT($C$3),SUM($E$4:$E39)))</f>
        <v/>
      </c>
      <c r="H39" s="134" t="e">
        <f ca="1">MATCH(TRUE,OFFSET(INDIRECT(INDEX(INDIRECT(CT_APtoSTA!$A$5),MATCH(SelectionTables!$H$4,INDIRECT(CT_APtoSTA!$G$2),0),0)),0,SUM($H$4:$H38),1,ProductTable!$AB$2-SUM($H$4:$H38)),0)</f>
        <v>#REF!</v>
      </c>
      <c r="I39" s="248" t="e">
        <f ca="1">INDEX(INDIRECT(CT_APtoSTA!$G$3),1,SUM($H$4:$H39))</f>
        <v>#REF!</v>
      </c>
      <c r="J39" s="134" t="e">
        <f ca="1">MATCH(TRUE,OFFSET(INDIRECT(INDEX(INDIRECT(CT_STAtoWLAN!$B$4),0,MATCH(SelectionTables!$N$4,INDIRECT(CT_STAtoWLAN!$G$3),0))),SUM($J$4:$J38),0,ProductTable!$AB$2-SUM($J$4:$J38)),0)</f>
        <v>#REF!</v>
      </c>
      <c r="K39" s="248" t="str">
        <f ca="1">IF(ISERROR($J39),"",INDEX(INDIRECT(CT_STAtoWLAN!$G$2),SUM($J$4:$J39)))</f>
        <v/>
      </c>
      <c r="L39" s="184" t="b">
        <f t="shared" ca="1" si="3"/>
        <v>0</v>
      </c>
      <c r="M39" s="184" t="e">
        <f ca="1">MATCH(TRUE,OFFSET(INDIRECT($L$3),SUM($M$4:$M38),0),0)</f>
        <v>#N/A</v>
      </c>
      <c r="N39" s="251" t="str">
        <f ca="1">IF(ISERROR(M39),"",INDEX(INDIRECT($I$3),SUM($M$4:$M39)))</f>
        <v/>
      </c>
      <c r="O39" s="184" t="b">
        <f ca="1">IF(N39="",FALSE,IF(ISERROR(MATCH(N39,INDIRECT(ProductTable!$AD$4),0)),FALSE,TRUE))</f>
        <v>0</v>
      </c>
      <c r="P39" s="184" t="e">
        <f ca="1">MATCH(TRUE,OFFSET(INDIRECT($O$3),SUM($P$4:$P38),0),0)</f>
        <v>#N/A</v>
      </c>
      <c r="Q39" s="184" t="str">
        <f ca="1">IF(ISERROR(P39),"",INDEX(INDIRECT($N$3),SUM($P$4:$P39)))</f>
        <v/>
      </c>
      <c r="S39" s="134" t="e">
        <f ca="1">MATCH(TRUE,OFFSET(INDIRECT(INDEX(INDIRECT(CT_STAtoANT!$A$5),MATCH(SelectionTables!$G$4,INDIRECT(CT_STAtoANT!$G$2),0),0)),0,SUM($S$4:$S38),1,ProductTable!$H$2-SUM($S$4:$S38)),0)</f>
        <v>#REF!</v>
      </c>
      <c r="T39" s="184" t="e">
        <f ca="1">INDEX(INDIRECT(CT_STAtoANT!$G$3),1,SUM($S$4:$S39))</f>
        <v>#REF!</v>
      </c>
      <c r="U39" s="184" t="b">
        <f ca="1">IF(ISERROR(MATCH(T39,INDIRECT(ProductTable!$J$4),0)),FALSE,TRUE)</f>
        <v>0</v>
      </c>
      <c r="V39" s="184" t="e">
        <f ca="1">MATCH(TRUE,OFFSET(INDIRECT($U$3),SUM($V$4:$V38),0,ProductTable!$H$2-SUM($V$4:$V38),1),0)</f>
        <v>#REF!</v>
      </c>
      <c r="W39" s="184" t="str">
        <f ca="1">IF(ISERROR($V39),"",INDEX(INDIRECT($T$3),SUM($V$4:$V39)))</f>
        <v/>
      </c>
      <c r="Y39" s="184" t="e">
        <f ca="1">MATCH(TRUE,OFFSET(INDIRECT(INDEX(INDIRECT(CT_APtoC1!$A$5),MATCH(SelectionTables!$H$4,INDIRECT(CT_APtoC1!$G$2),0),0)),0,SUM($Y$4:$Y38),1,ProductTable!$C$2-SUM($Y$4:$Y38)),0)</f>
        <v>#REF!</v>
      </c>
      <c r="Z39" s="251" t="e">
        <f ca="1">INDEX(INDIRECT(CT_APtoC1!$G$3),1,SUM($Y$4:$Y39))</f>
        <v>#REF!</v>
      </c>
      <c r="AA39" s="184" t="e">
        <f ca="1">MATCH(TRUE,OFFSET(INDIRECT(INDEX(INDIRECT(CT_C1toANT!$B$4),0,MATCH(SelectionTables!$J$4,INDIRECT(CT_C1toANT!$G$3),0))),SUM(AA$4:AA38),0,ProductTable!$M$2-SUM(AA$4:AA38)),0)</f>
        <v>#REF!</v>
      </c>
      <c r="AB39" s="251" t="str">
        <f ca="1">IF(ISERROR(AA39),"",INDEX(INDIRECT(CT_C1toANT!$G$2),SUM(AA$4:AA39)))</f>
        <v/>
      </c>
      <c r="AC39" s="184" t="b">
        <f t="shared" ca="1" si="0"/>
        <v>0</v>
      </c>
      <c r="AD39" s="184" t="e">
        <f ca="1">MATCH(TRUE,OFFSET(INDIRECT($AC$3),SUM($AD$4:$AD38),0),0)</f>
        <v>#N/A</v>
      </c>
      <c r="AE39" s="184" t="e">
        <f ca="1">INDEX(INDIRECT($Z$3),SUM($AD$4:$AD39))</f>
        <v>#N/A</v>
      </c>
      <c r="AF39" s="184" t="b">
        <f ca="1">IF(ISERROR(MATCH(AE39,INDIRECT(ProductTable!$O$4),0)),FALSE,TRUE)</f>
        <v>0</v>
      </c>
      <c r="AG39" s="184" t="e">
        <f ca="1">MATCH(TRUE,OFFSET(INDIRECT($AF$3),SUM($AG$4:$AG38),0),0)</f>
        <v>#N/A</v>
      </c>
      <c r="AH39" s="184" t="str">
        <f ca="1">IF(ISERROR(AG39),"",INDEX(INDIRECT($AE$3),SUM($AG$4:$AG39)))</f>
        <v/>
      </c>
      <c r="AJ39" s="184" t="e">
        <f ca="1">MATCH(TRUE,OFFSET(INDIRECT(INDEX(INDIRECT(CT_SAtoC1!$A$5),MATCH(SelectionTables!$K$4,INDIRECT(CT_SAtoC1!$G$2),0),0)),0,SUM($AJ$4:$AJ38),1,ProductTable!$C$2-SUM($AJ$4:$AJ38)),0)</f>
        <v>#REF!</v>
      </c>
      <c r="AK39" s="251" t="e">
        <f ca="1">INDEX(INDIRECT(CT_SAtoC1!$G$3),1,SUM($AJ$4:$AJ39))</f>
        <v>#REF!</v>
      </c>
      <c r="AL39" s="184" t="e">
        <f ca="1">MATCH(TRUE,OFFSET(INDIRECT(INDEX(INDIRECT(CT_C1toANT!$B$4),0,MATCH(SelectionTables!$J$4,INDIRECT(CT_C1toANT!$G$3),0))),SUM(AL$4:AL38),0,ProductTable!$M$2-SUM(AL$4:AL38)),0)</f>
        <v>#REF!</v>
      </c>
      <c r="AM39" s="251" t="str">
        <f ca="1">IF(ISERROR(AL39),"",INDEX(INDIRECT(CT_C1toANT!$G$2),SUM(AL$4:AL39)))</f>
        <v/>
      </c>
      <c r="AN39" s="184" t="b">
        <f t="shared" ca="1" si="1"/>
        <v>0</v>
      </c>
      <c r="AO39" s="184" t="e">
        <f ca="1">MATCH(TRUE,OFFSET(INDIRECT(AN$3),SUM(AO$4:AO38),0),0)</f>
        <v>#N/A</v>
      </c>
      <c r="AP39" s="184" t="e">
        <f ca="1">INDEX(INDIRECT(AK$3),SUM(AO$4:AO39))</f>
        <v>#N/A</v>
      </c>
      <c r="AQ39" s="184" t="b">
        <f ca="1">IF(ISERROR(MATCH(AP39,INDIRECT(ProductTable!$AI$4),0)),FALSE,TRUE)</f>
        <v>0</v>
      </c>
      <c r="AR39" s="184" t="e">
        <f ca="1">MATCH(TRUE,OFFSET(INDIRECT($AQ$3),SUM($AR$4:$AR38),0),0)</f>
        <v>#N/A</v>
      </c>
      <c r="AS39" s="184" t="str">
        <f ca="1">IF(ISERROR(AR39),"",INDEX(INDIRECT(AP$3),SUM(AR$4:AR39)))</f>
        <v/>
      </c>
      <c r="AU39" s="184">
        <f ca="1">IF(OR(EXACT(SelectionTables!$I$4,ProductTable!$L$7),EXACT(SelectionTables!$I$4,"")),"",ProductTable!T42)</f>
        <v>0</v>
      </c>
      <c r="AW39" s="540" t="e">
        <f ca="1">MATCH(TRUE,OFFSET(INDIRECT(INDEX(INDIRECT(CT_STAtoANT!$A$5),MATCH(SelectionTables!$G$4,INDIRECT(CT_STAtoANT!$G$2),0),0)),0,SUM($AW$4:$AW38),1,ProductTable!$H$2-SUM($AW$4:$AW38)),0)</f>
        <v>#REF!</v>
      </c>
      <c r="AX39" s="541" t="e">
        <f ca="1">INDEX(INDIRECT(CT_STAtoANT!$G$3),1,SUM($AW$4:$AW39))</f>
        <v>#REF!</v>
      </c>
      <c r="AY39" s="541" t="b">
        <f ca="1">IF(ISERROR(MATCH(AX39,INDIRECT(ProductTable!$J$4),0)),FALSE,TRUE)</f>
        <v>0</v>
      </c>
      <c r="AZ39" s="541" t="e">
        <f ca="1">MATCH(TRUE,OFFSET(INDIRECT($AY$3),SUM($AZ$4:$AZ38),0,ProductTable!$H$2-SUM($AZ$4:$AZ38),1),0)</f>
        <v>#REF!</v>
      </c>
      <c r="BA39" s="541" t="str">
        <f ca="1">IF(ISERROR($AZ39),"",INDEX(INDIRECT($AX$3),SUM($AZ$4:$AZ39)))</f>
        <v/>
      </c>
      <c r="BB39" s="541" t="e">
        <f ca="1">MATCH(TRUE,OFFSET(INDIRECT(INDEX(INDIRECT(CT_APtoANT!$A$5),MATCH(SelectionTables!$H$4,INDIRECT(CT_APtoANT!$G$2),0),0)),0,SUM($BB$4:$BB38),1,ProductTable!$H$2-SUM($BB$4:$BB38)),0)</f>
        <v>#REF!</v>
      </c>
      <c r="BC39" s="541" t="e">
        <f ca="1">INDEX(INDIRECT(CT_APtoANT!$G$3),1,SUM($BB$4:$BB39))</f>
        <v>#REF!</v>
      </c>
      <c r="BD39" s="541" t="b">
        <f t="shared" ca="1" si="2"/>
        <v>0</v>
      </c>
      <c r="BE39" s="541" t="e">
        <f ca="1">MATCH(TRUE,OFFSET(INDIRECT($BD$3),SUM($BE$4:$BE38),0,ProductTable!$H$2-SUM($BE$4:$BE38),1),0)</f>
        <v>#REF!</v>
      </c>
      <c r="BF39" s="541" t="str">
        <f ca="1">IF(ISERROR($BE39),"",INDEX(INDIRECT($BA$3),SUM($BE$4:$BE39)))</f>
        <v/>
      </c>
      <c r="BH39" s="541" t="e">
        <f ca="1">MATCH(TRUE,OFFSET(INDIRECT(INDEX(INDIRECT(CT_APtoC1!$A$5),MATCH(SelectionTables!$H$4,INDIRECT(CT_APtoC1!$G$2),0),0)),0,SUM($BH$4:$BH38),1,ProductTable!$AG$2-SUM($BH$4:$BH38)),0)</f>
        <v>#REF!</v>
      </c>
      <c r="BI39" s="541" t="e">
        <f ca="1">INDEX(INDIRECT(CT_APtoC1!$G$3),1,SUM($BH$4:$BH39))</f>
        <v>#REF!</v>
      </c>
      <c r="BJ39" s="541" t="b">
        <f ca="1">IF(ISERROR(MATCH(BI39,INDIRECT(ProductTable!$AI$4),0)),FALSE,TRUE)</f>
        <v>0</v>
      </c>
      <c r="BK39" s="541" t="e">
        <f ca="1">MATCH(TRUE,OFFSET(INDIRECT($BJ$3),SUM($BK$4:$BK38),0,ProductTable!$AG$2-SUM($BK$4:$BK38),1),0)</f>
        <v>#N/A</v>
      </c>
      <c r="BL39" s="541" t="str">
        <f ca="1">IF(ISERROR($BK39),"",INDEX(INDIRECT($BI$3),SUM($BK$4:$BK39)))</f>
        <v/>
      </c>
    </row>
    <row r="40" spans="2:64" x14ac:dyDescent="0.25">
      <c r="B40" s="134" t="e">
        <f ca="1">MATCH(TRUE,OFFSET(INDIRECT(INDEX(INDIRECT(CT_APtoWLAN!$A$5),MATCH(SelectionTables!$H$4,INDIRECT(CT_APtoWLAN!$G$2),0),0)),0,SUM($B$4:$B39),1,ProductTable!$W$2-SUM($B$4:$B39)),0)</f>
        <v>#N/A</v>
      </c>
      <c r="C40" s="134" t="e">
        <f ca="1">INDEX(INDIRECT(CT_APtoWLAN!$G$3),1,SUM($B$4:$B40))</f>
        <v>#N/A</v>
      </c>
      <c r="D40" s="134" t="b">
        <f ca="1">IF(ISERROR(MATCH(C40,INDIRECT(ProductTable!$Y$4),0)),FALSE,TRUE)</f>
        <v>0</v>
      </c>
      <c r="E40" s="134" t="e">
        <f ca="1">MATCH(TRUE,OFFSET(INDIRECT($D$3),SUM($E$4:$E39),0,ProductTable!$W$2-SUM($E$4:$E39),1),0)</f>
        <v>#N/A</v>
      </c>
      <c r="F40" s="184" t="str">
        <f ca="1">IF(ISERROR($E40),"",INDEX(INDIRECT($C$3),SUM($E$4:$E40)))</f>
        <v/>
      </c>
      <c r="H40" s="134" t="e">
        <f ca="1">MATCH(TRUE,OFFSET(INDIRECT(INDEX(INDIRECT(CT_APtoSTA!$A$5),MATCH(SelectionTables!$H$4,INDIRECT(CT_APtoSTA!$G$2),0),0)),0,SUM($H$4:$H39),1,ProductTable!$AB$2-SUM($H$4:$H39)),0)</f>
        <v>#REF!</v>
      </c>
      <c r="I40" s="248" t="e">
        <f ca="1">INDEX(INDIRECT(CT_APtoSTA!$G$3),1,SUM($H$4:$H40))</f>
        <v>#REF!</v>
      </c>
      <c r="J40" s="134" t="e">
        <f ca="1">MATCH(TRUE,OFFSET(INDIRECT(INDEX(INDIRECT(CT_STAtoWLAN!$B$4),0,MATCH(SelectionTables!$N$4,INDIRECT(CT_STAtoWLAN!$G$3),0))),SUM($J$4:$J39),0,ProductTable!$AB$2-SUM($J$4:$J39)),0)</f>
        <v>#REF!</v>
      </c>
      <c r="K40" s="248" t="str">
        <f ca="1">IF(ISERROR($J40),"",INDEX(INDIRECT(CT_STAtoWLAN!$G$2),SUM($J$4:$J40)))</f>
        <v/>
      </c>
      <c r="L40" s="184" t="b">
        <f t="shared" ca="1" si="3"/>
        <v>0</v>
      </c>
      <c r="M40" s="184" t="e">
        <f ca="1">MATCH(TRUE,OFFSET(INDIRECT($L$3),SUM($M$4:$M39),0),0)</f>
        <v>#N/A</v>
      </c>
      <c r="N40" s="251" t="str">
        <f ca="1">IF(ISERROR(M40),"",INDEX(INDIRECT($I$3),SUM($M$4:$M40)))</f>
        <v/>
      </c>
      <c r="O40" s="184" t="b">
        <f ca="1">IF(N40="",FALSE,IF(ISERROR(MATCH(N40,INDIRECT(ProductTable!$AD$4),0)),FALSE,TRUE))</f>
        <v>0</v>
      </c>
      <c r="P40" s="184" t="e">
        <f ca="1">MATCH(TRUE,OFFSET(INDIRECT($O$3),SUM($P$4:$P39),0),0)</f>
        <v>#N/A</v>
      </c>
      <c r="Q40" s="184" t="str">
        <f ca="1">IF(ISERROR(P40),"",INDEX(INDIRECT($N$3),SUM($P$4:$P40)))</f>
        <v/>
      </c>
      <c r="S40" s="134" t="e">
        <f ca="1">MATCH(TRUE,OFFSET(INDIRECT(INDEX(INDIRECT(CT_STAtoANT!$A$5),MATCH(SelectionTables!$G$4,INDIRECT(CT_STAtoANT!$G$2),0),0)),0,SUM($S$4:$S39),1,ProductTable!$H$2-SUM($S$4:$S39)),0)</f>
        <v>#REF!</v>
      </c>
      <c r="T40" s="184" t="e">
        <f ca="1">INDEX(INDIRECT(CT_STAtoANT!$G$3),1,SUM($S$4:$S40))</f>
        <v>#REF!</v>
      </c>
      <c r="U40" s="184" t="b">
        <f ca="1">IF(ISERROR(MATCH(T40,INDIRECT(ProductTable!$J$4),0)),FALSE,TRUE)</f>
        <v>0</v>
      </c>
      <c r="V40" s="184" t="e">
        <f ca="1">MATCH(TRUE,OFFSET(INDIRECT($U$3),SUM($V$4:$V39),0,ProductTable!$H$2-SUM($V$4:$V39),1),0)</f>
        <v>#REF!</v>
      </c>
      <c r="W40" s="184" t="str">
        <f ca="1">IF(ISERROR($V40),"",INDEX(INDIRECT($T$3),SUM($V$4:$V40)))</f>
        <v/>
      </c>
      <c r="Y40" s="184" t="e">
        <f ca="1">MATCH(TRUE,OFFSET(INDIRECT(INDEX(INDIRECT(CT_APtoC1!$A$5),MATCH(SelectionTables!$H$4,INDIRECT(CT_APtoC1!$G$2),0),0)),0,SUM($Y$4:$Y39),1,ProductTable!$C$2-SUM($Y$4:$Y39)),0)</f>
        <v>#REF!</v>
      </c>
      <c r="Z40" s="251" t="e">
        <f ca="1">INDEX(INDIRECT(CT_APtoC1!$G$3),1,SUM($Y$4:$Y40))</f>
        <v>#REF!</v>
      </c>
      <c r="AA40" s="184" t="e">
        <f ca="1">MATCH(TRUE,OFFSET(INDIRECT(INDEX(INDIRECT(CT_C1toANT!$B$4),0,MATCH(SelectionTables!$J$4,INDIRECT(CT_C1toANT!$G$3),0))),SUM(AA$4:AA39),0,ProductTable!$M$2-SUM(AA$4:AA39)),0)</f>
        <v>#REF!</v>
      </c>
      <c r="AB40" s="251" t="str">
        <f ca="1">IF(ISERROR(AA40),"",INDEX(INDIRECT(CT_C1toANT!$G$2),SUM(AA$4:AA40)))</f>
        <v/>
      </c>
      <c r="AC40" s="184" t="b">
        <f t="shared" ca="1" si="0"/>
        <v>0</v>
      </c>
      <c r="AD40" s="184" t="e">
        <f ca="1">MATCH(TRUE,OFFSET(INDIRECT($AC$3),SUM($AD$4:$AD39),0),0)</f>
        <v>#N/A</v>
      </c>
      <c r="AE40" s="184" t="e">
        <f ca="1">INDEX(INDIRECT($Z$3),SUM($AD$4:$AD40))</f>
        <v>#N/A</v>
      </c>
      <c r="AF40" s="184" t="b">
        <f ca="1">IF(ISERROR(MATCH(AE40,INDIRECT(ProductTable!$O$4),0)),FALSE,TRUE)</f>
        <v>0</v>
      </c>
      <c r="AG40" s="184" t="e">
        <f ca="1">MATCH(TRUE,OFFSET(INDIRECT($AF$3),SUM($AG$4:$AG39),0),0)</f>
        <v>#N/A</v>
      </c>
      <c r="AH40" s="184" t="str">
        <f ca="1">IF(ISERROR(AG40),"",INDEX(INDIRECT($AE$3),SUM($AG$4:$AG40)))</f>
        <v/>
      </c>
      <c r="AJ40" s="184" t="e">
        <f ca="1">MATCH(TRUE,OFFSET(INDIRECT(INDEX(INDIRECT(CT_SAtoC1!$A$5),MATCH(SelectionTables!$K$4,INDIRECT(CT_SAtoC1!$G$2),0),0)),0,SUM($AJ$4:$AJ39),1,ProductTable!$C$2-SUM($AJ$4:$AJ39)),0)</f>
        <v>#REF!</v>
      </c>
      <c r="AK40" s="251" t="e">
        <f ca="1">INDEX(INDIRECT(CT_SAtoC1!$G$3),1,SUM($AJ$4:$AJ40))</f>
        <v>#REF!</v>
      </c>
      <c r="AL40" s="184" t="e">
        <f ca="1">MATCH(TRUE,OFFSET(INDIRECT(INDEX(INDIRECT(CT_C1toANT!$B$4),0,MATCH(SelectionTables!$J$4,INDIRECT(CT_C1toANT!$G$3),0))),SUM(AL$4:AL39),0,ProductTable!$M$2-SUM(AL$4:AL39)),0)</f>
        <v>#REF!</v>
      </c>
      <c r="AM40" s="251" t="str">
        <f ca="1">IF(ISERROR(AL40),"",INDEX(INDIRECT(CT_C1toANT!$G$2),SUM(AL$4:AL40)))</f>
        <v/>
      </c>
      <c r="AN40" s="184" t="b">
        <f t="shared" ca="1" si="1"/>
        <v>0</v>
      </c>
      <c r="AO40" s="184" t="e">
        <f ca="1">MATCH(TRUE,OFFSET(INDIRECT(AN$3),SUM(AO$4:AO39),0),0)</f>
        <v>#N/A</v>
      </c>
      <c r="AP40" s="184" t="e">
        <f ca="1">INDEX(INDIRECT(AK$3),SUM(AO$4:AO40))</f>
        <v>#N/A</v>
      </c>
      <c r="AQ40" s="184" t="b">
        <f ca="1">IF(ISERROR(MATCH(AP40,INDIRECT(ProductTable!$AI$4),0)),FALSE,TRUE)</f>
        <v>0</v>
      </c>
      <c r="AR40" s="184" t="e">
        <f ca="1">MATCH(TRUE,OFFSET(INDIRECT($AQ$3),SUM($AR$4:$AR39),0),0)</f>
        <v>#N/A</v>
      </c>
      <c r="AS40" s="184" t="str">
        <f ca="1">IF(ISERROR(AR40),"",INDEX(INDIRECT(AP$3),SUM(AR$4:AR40)))</f>
        <v/>
      </c>
      <c r="AU40" s="184">
        <f ca="1">IF(OR(EXACT(SelectionTables!$I$4,ProductTable!$L$7),EXACT(SelectionTables!$I$4,"")),"",ProductTable!T43)</f>
        <v>0</v>
      </c>
      <c r="AW40" s="540" t="e">
        <f ca="1">MATCH(TRUE,OFFSET(INDIRECT(INDEX(INDIRECT(CT_STAtoANT!$A$5),MATCH(SelectionTables!$G$4,INDIRECT(CT_STAtoANT!$G$2),0),0)),0,SUM($AW$4:$AW39),1,ProductTable!$H$2-SUM($AW$4:$AW39)),0)</f>
        <v>#REF!</v>
      </c>
      <c r="AX40" s="541" t="e">
        <f ca="1">INDEX(INDIRECT(CT_STAtoANT!$G$3),1,SUM($AW$4:$AW40))</f>
        <v>#REF!</v>
      </c>
      <c r="AY40" s="541" t="b">
        <f ca="1">IF(ISERROR(MATCH(AX40,INDIRECT(ProductTable!$J$4),0)),FALSE,TRUE)</f>
        <v>0</v>
      </c>
      <c r="AZ40" s="541" t="e">
        <f ca="1">MATCH(TRUE,OFFSET(INDIRECT($AY$3),SUM($AZ$4:$AZ39),0,ProductTable!$H$2-SUM($AZ$4:$AZ39),1),0)</f>
        <v>#REF!</v>
      </c>
      <c r="BA40" s="541" t="str">
        <f ca="1">IF(ISERROR($AZ40),"",INDEX(INDIRECT($AX$3),SUM($AZ$4:$AZ40)))</f>
        <v/>
      </c>
      <c r="BB40" s="541" t="e">
        <f ca="1">MATCH(TRUE,OFFSET(INDIRECT(INDEX(INDIRECT(CT_APtoANT!$A$5),MATCH(SelectionTables!$H$4,INDIRECT(CT_APtoANT!$G$2),0),0)),0,SUM($BB$4:$BB39),1,ProductTable!$H$2-SUM($BB$4:$BB39)),0)</f>
        <v>#REF!</v>
      </c>
      <c r="BC40" s="541" t="e">
        <f ca="1">INDEX(INDIRECT(CT_APtoANT!$G$3),1,SUM($BB$4:$BB40))</f>
        <v>#REF!</v>
      </c>
      <c r="BD40" s="541" t="b">
        <f t="shared" ca="1" si="2"/>
        <v>0</v>
      </c>
      <c r="BE40" s="541" t="e">
        <f ca="1">MATCH(TRUE,OFFSET(INDIRECT($BD$3),SUM($BE$4:$BE39),0,ProductTable!$H$2-SUM($BE$4:$BE39),1),0)</f>
        <v>#REF!</v>
      </c>
      <c r="BF40" s="541" t="str">
        <f ca="1">IF(ISERROR($BE40),"",INDEX(INDIRECT($BA$3),SUM($BE$4:$BE40)))</f>
        <v/>
      </c>
      <c r="BH40" s="541" t="e">
        <f ca="1">MATCH(TRUE,OFFSET(INDIRECT(INDEX(INDIRECT(CT_APtoC1!$A$5),MATCH(SelectionTables!$H$4,INDIRECT(CT_APtoC1!$G$2),0),0)),0,SUM($BH$4:$BH39),1,ProductTable!$AG$2-SUM($BH$4:$BH39)),0)</f>
        <v>#REF!</v>
      </c>
      <c r="BI40" s="541" t="e">
        <f ca="1">INDEX(INDIRECT(CT_APtoC1!$G$3),1,SUM($BH$4:$BH40))</f>
        <v>#REF!</v>
      </c>
      <c r="BJ40" s="541" t="b">
        <f ca="1">IF(ISERROR(MATCH(BI40,INDIRECT(ProductTable!$AI$4),0)),FALSE,TRUE)</f>
        <v>0</v>
      </c>
      <c r="BK40" s="541" t="e">
        <f ca="1">MATCH(TRUE,OFFSET(INDIRECT($BJ$3),SUM($BK$4:$BK39),0,ProductTable!$AG$2-SUM($BK$4:$BK39),1),0)</f>
        <v>#N/A</v>
      </c>
      <c r="BL40" s="541" t="str">
        <f ca="1">IF(ISERROR($BK40),"",INDEX(INDIRECT($BI$3),SUM($BK$4:$BK40)))</f>
        <v/>
      </c>
    </row>
    <row r="41" spans="2:64" x14ac:dyDescent="0.25">
      <c r="B41" s="134" t="e">
        <f ca="1">MATCH(TRUE,OFFSET(INDIRECT(INDEX(INDIRECT(CT_APtoWLAN!$A$5),MATCH(SelectionTables!$H$4,INDIRECT(CT_APtoWLAN!$G$2),0),0)),0,SUM($B$4:$B40),1,ProductTable!$W$2-SUM($B$4:$B40)),0)</f>
        <v>#N/A</v>
      </c>
      <c r="C41" s="134" t="e">
        <f ca="1">INDEX(INDIRECT(CT_APtoWLAN!$G$3),1,SUM($B$4:$B41))</f>
        <v>#N/A</v>
      </c>
      <c r="D41" s="134" t="b">
        <f ca="1">IF(ISERROR(MATCH(C41,INDIRECT(ProductTable!$Y$4),0)),FALSE,TRUE)</f>
        <v>0</v>
      </c>
      <c r="E41" s="134" t="e">
        <f ca="1">MATCH(TRUE,OFFSET(INDIRECT($D$3),SUM($E$4:$E40),0,ProductTable!$W$2-SUM($E$4:$E40),1),0)</f>
        <v>#N/A</v>
      </c>
      <c r="F41" s="184" t="str">
        <f ca="1">IF(ISERROR($E41),"",INDEX(INDIRECT($C$3),SUM($E$4:$E41)))</f>
        <v/>
      </c>
      <c r="H41" s="134" t="e">
        <f ca="1">MATCH(TRUE,OFFSET(INDIRECT(INDEX(INDIRECT(CT_APtoSTA!$A$5),MATCH(SelectionTables!$H$4,INDIRECT(CT_APtoSTA!$G$2),0),0)),0,SUM($H$4:$H40),1,ProductTable!$AB$2-SUM($H$4:$H40)),0)</f>
        <v>#REF!</v>
      </c>
      <c r="I41" s="248" t="e">
        <f ca="1">INDEX(INDIRECT(CT_APtoSTA!$G$3),1,SUM($H$4:$H41))</f>
        <v>#REF!</v>
      </c>
      <c r="J41" s="134" t="e">
        <f ca="1">MATCH(TRUE,OFFSET(INDIRECT(INDEX(INDIRECT(CT_STAtoWLAN!$B$4),0,MATCH(SelectionTables!$N$4,INDIRECT(CT_STAtoWLAN!$G$3),0))),SUM($J$4:$J40),0,ProductTable!$AB$2-SUM($J$4:$J40)),0)</f>
        <v>#REF!</v>
      </c>
      <c r="K41" s="248" t="str">
        <f ca="1">IF(ISERROR($J41),"",INDEX(INDIRECT(CT_STAtoWLAN!$G$2),SUM($J$4:$J41)))</f>
        <v/>
      </c>
      <c r="L41" s="184" t="b">
        <f t="shared" ca="1" si="3"/>
        <v>0</v>
      </c>
      <c r="M41" s="184" t="e">
        <f ca="1">MATCH(TRUE,OFFSET(INDIRECT($L$3),SUM($M$4:$M40),0),0)</f>
        <v>#N/A</v>
      </c>
      <c r="N41" s="251" t="str">
        <f ca="1">IF(ISERROR(M41),"",INDEX(INDIRECT($I$3),SUM($M$4:$M41)))</f>
        <v/>
      </c>
      <c r="O41" s="184" t="b">
        <f ca="1">IF(N41="",FALSE,IF(ISERROR(MATCH(N41,INDIRECT(ProductTable!$AD$4),0)),FALSE,TRUE))</f>
        <v>0</v>
      </c>
      <c r="P41" s="184" t="e">
        <f ca="1">MATCH(TRUE,OFFSET(INDIRECT($O$3),SUM($P$4:$P40),0),0)</f>
        <v>#N/A</v>
      </c>
      <c r="Q41" s="184" t="str">
        <f ca="1">IF(ISERROR(P41),"",INDEX(INDIRECT($N$3),SUM($P$4:$P41)))</f>
        <v/>
      </c>
      <c r="S41" s="134" t="e">
        <f ca="1">MATCH(TRUE,OFFSET(INDIRECT(INDEX(INDIRECT(CT_STAtoANT!$A$5),MATCH(SelectionTables!$G$4,INDIRECT(CT_STAtoANT!$G$2),0),0)),0,SUM($S$4:$S40),1,ProductTable!$H$2-SUM($S$4:$S40)),0)</f>
        <v>#REF!</v>
      </c>
      <c r="T41" s="184" t="e">
        <f ca="1">INDEX(INDIRECT(CT_STAtoANT!$G$3),1,SUM($S$4:$S41))</f>
        <v>#REF!</v>
      </c>
      <c r="U41" s="184" t="b">
        <f ca="1">IF(ISERROR(MATCH(T41,INDIRECT(ProductTable!$J$4),0)),FALSE,TRUE)</f>
        <v>0</v>
      </c>
      <c r="V41" s="184" t="e">
        <f ca="1">MATCH(TRUE,OFFSET(INDIRECT($U$3),SUM($V$4:$V40),0,ProductTable!$H$2-SUM($V$4:$V40),1),0)</f>
        <v>#REF!</v>
      </c>
      <c r="W41" s="184" t="str">
        <f ca="1">IF(ISERROR($V41),"",INDEX(INDIRECT($T$3),SUM($V$4:$V41)))</f>
        <v/>
      </c>
      <c r="Y41" s="184" t="e">
        <f ca="1">MATCH(TRUE,OFFSET(INDIRECT(INDEX(INDIRECT(CT_APtoC1!$A$5),MATCH(SelectionTables!$H$4,INDIRECT(CT_APtoC1!$G$2),0),0)),0,SUM($Y$4:$Y40),1,ProductTable!$C$2-SUM($Y$4:$Y40)),0)</f>
        <v>#REF!</v>
      </c>
      <c r="Z41" s="251" t="e">
        <f ca="1">INDEX(INDIRECT(CT_APtoC1!$G$3),1,SUM($Y$4:$Y41))</f>
        <v>#REF!</v>
      </c>
      <c r="AA41" s="184" t="e">
        <f ca="1">MATCH(TRUE,OFFSET(INDIRECT(INDEX(INDIRECT(CT_C1toANT!$B$4),0,MATCH(SelectionTables!$J$4,INDIRECT(CT_C1toANT!$G$3),0))),SUM(AA$4:AA40),0,ProductTable!$M$2-SUM(AA$4:AA40)),0)</f>
        <v>#REF!</v>
      </c>
      <c r="AB41" s="251" t="str">
        <f ca="1">IF(ISERROR(AA41),"",INDEX(INDIRECT(CT_C1toANT!$G$2),SUM(AA$4:AA41)))</f>
        <v/>
      </c>
      <c r="AC41" s="184" t="b">
        <f t="shared" ca="1" si="0"/>
        <v>0</v>
      </c>
      <c r="AD41" s="184" t="e">
        <f ca="1">MATCH(TRUE,OFFSET(INDIRECT($AC$3),SUM($AD$4:$AD40),0),0)</f>
        <v>#N/A</v>
      </c>
      <c r="AE41" s="184" t="e">
        <f ca="1">INDEX(INDIRECT($Z$3),SUM($AD$4:$AD41))</f>
        <v>#N/A</v>
      </c>
      <c r="AF41" s="184" t="b">
        <f ca="1">IF(ISERROR(MATCH(AE41,INDIRECT(ProductTable!$O$4),0)),FALSE,TRUE)</f>
        <v>0</v>
      </c>
      <c r="AG41" s="184" t="e">
        <f ca="1">MATCH(TRUE,OFFSET(INDIRECT($AF$3),SUM($AG$4:$AG40),0),0)</f>
        <v>#N/A</v>
      </c>
      <c r="AH41" s="184" t="str">
        <f ca="1">IF(ISERROR(AG41),"",INDEX(INDIRECT($AE$3),SUM($AG$4:$AG41)))</f>
        <v/>
      </c>
      <c r="AJ41" s="184" t="e">
        <f ca="1">MATCH(TRUE,OFFSET(INDIRECT(INDEX(INDIRECT(CT_SAtoC1!$A$5),MATCH(SelectionTables!$K$4,INDIRECT(CT_SAtoC1!$G$2),0),0)),0,SUM($AJ$4:$AJ40),1,ProductTable!$C$2-SUM($AJ$4:$AJ40)),0)</f>
        <v>#REF!</v>
      </c>
      <c r="AK41" s="251" t="e">
        <f ca="1">INDEX(INDIRECT(CT_SAtoC1!$G$3),1,SUM($AJ$4:$AJ41))</f>
        <v>#REF!</v>
      </c>
      <c r="AL41" s="184" t="e">
        <f ca="1">MATCH(TRUE,OFFSET(INDIRECT(INDEX(INDIRECT(CT_C1toANT!$B$4),0,MATCH(SelectionTables!$J$4,INDIRECT(CT_C1toANT!$G$3),0))),SUM(AL$4:AL40),0,ProductTable!$M$2-SUM(AL$4:AL40)),0)</f>
        <v>#REF!</v>
      </c>
      <c r="AM41" s="251" t="str">
        <f ca="1">IF(ISERROR(AL41),"",INDEX(INDIRECT(CT_C1toANT!$G$2),SUM(AL$4:AL41)))</f>
        <v/>
      </c>
      <c r="AN41" s="184" t="b">
        <f t="shared" ca="1" si="1"/>
        <v>0</v>
      </c>
      <c r="AO41" s="184" t="e">
        <f ca="1">MATCH(TRUE,OFFSET(INDIRECT(AN$3),SUM(AO$4:AO40),0),0)</f>
        <v>#N/A</v>
      </c>
      <c r="AP41" s="184" t="e">
        <f ca="1">INDEX(INDIRECT(AK$3),SUM(AO$4:AO41))</f>
        <v>#N/A</v>
      </c>
      <c r="AQ41" s="184" t="b">
        <f ca="1">IF(ISERROR(MATCH(AP41,INDIRECT(ProductTable!$AI$4),0)),FALSE,TRUE)</f>
        <v>0</v>
      </c>
      <c r="AR41" s="184" t="e">
        <f ca="1">MATCH(TRUE,OFFSET(INDIRECT($AQ$3),SUM($AR$4:$AR40),0),0)</f>
        <v>#N/A</v>
      </c>
      <c r="AS41" s="184" t="str">
        <f ca="1">IF(ISERROR(AR41),"",INDEX(INDIRECT(AP$3),SUM(AR$4:AR41)))</f>
        <v/>
      </c>
      <c r="AU41" s="184">
        <f ca="1">IF(OR(EXACT(SelectionTables!$I$4,ProductTable!$L$7),EXACT(SelectionTables!$I$4,"")),"",ProductTable!T44)</f>
        <v>0</v>
      </c>
      <c r="AW41" s="540" t="e">
        <f ca="1">MATCH(TRUE,OFFSET(INDIRECT(INDEX(INDIRECT(CT_STAtoANT!$A$5),MATCH(SelectionTables!$G$4,INDIRECT(CT_STAtoANT!$G$2),0),0)),0,SUM($AW$4:$AW40),1,ProductTable!$H$2-SUM($AW$4:$AW40)),0)</f>
        <v>#REF!</v>
      </c>
      <c r="AX41" s="541" t="e">
        <f ca="1">INDEX(INDIRECT(CT_STAtoANT!$G$3),1,SUM($AW$4:$AW41))</f>
        <v>#REF!</v>
      </c>
      <c r="AY41" s="541" t="b">
        <f ca="1">IF(ISERROR(MATCH(AX41,INDIRECT(ProductTable!$J$4),0)),FALSE,TRUE)</f>
        <v>0</v>
      </c>
      <c r="AZ41" s="541" t="e">
        <f ca="1">MATCH(TRUE,OFFSET(INDIRECT($AY$3),SUM($AZ$4:$AZ40),0,ProductTable!$H$2-SUM($AZ$4:$AZ40),1),0)</f>
        <v>#REF!</v>
      </c>
      <c r="BA41" s="541" t="str">
        <f ca="1">IF(ISERROR($AZ41),"",INDEX(INDIRECT($AX$3),SUM($AZ$4:$AZ41)))</f>
        <v/>
      </c>
      <c r="BB41" s="541" t="e">
        <f ca="1">MATCH(TRUE,OFFSET(INDIRECT(INDEX(INDIRECT(CT_APtoANT!$A$5),MATCH(SelectionTables!$H$4,INDIRECT(CT_APtoANT!$G$2),0),0)),0,SUM($BB$4:$BB40),1,ProductTable!$H$2-SUM($BB$4:$BB40)),0)</f>
        <v>#REF!</v>
      </c>
      <c r="BC41" s="541" t="e">
        <f ca="1">INDEX(INDIRECT(CT_APtoANT!$G$3),1,SUM($BB$4:$BB41))</f>
        <v>#REF!</v>
      </c>
      <c r="BD41" s="541" t="b">
        <f t="shared" ca="1" si="2"/>
        <v>0</v>
      </c>
      <c r="BE41" s="541" t="e">
        <f ca="1">MATCH(TRUE,OFFSET(INDIRECT($BD$3),SUM($BE$4:$BE40),0,ProductTable!$H$2-SUM($BE$4:$BE40),1),0)</f>
        <v>#REF!</v>
      </c>
      <c r="BF41" s="541" t="str">
        <f ca="1">IF(ISERROR($BE41),"",INDEX(INDIRECT($BA$3),SUM($BE$4:$BE41)))</f>
        <v/>
      </c>
      <c r="BH41" s="541" t="e">
        <f ca="1">MATCH(TRUE,OFFSET(INDIRECT(INDEX(INDIRECT(CT_APtoC1!$A$5),MATCH(SelectionTables!$H$4,INDIRECT(CT_APtoC1!$G$2),0),0)),0,SUM($BH$4:$BH40),1,ProductTable!$AG$2-SUM($BH$4:$BH40)),0)</f>
        <v>#REF!</v>
      </c>
      <c r="BI41" s="541" t="e">
        <f ca="1">INDEX(INDIRECT(CT_APtoC1!$G$3),1,SUM($BH$4:$BH41))</f>
        <v>#REF!</v>
      </c>
      <c r="BJ41" s="541" t="b">
        <f ca="1">IF(ISERROR(MATCH(BI41,INDIRECT(ProductTable!$AI$4),0)),FALSE,TRUE)</f>
        <v>0</v>
      </c>
      <c r="BK41" s="541" t="e">
        <f ca="1">MATCH(TRUE,OFFSET(INDIRECT($BJ$3),SUM($BK$4:$BK40),0,ProductTable!$AG$2-SUM($BK$4:$BK40),1),0)</f>
        <v>#N/A</v>
      </c>
      <c r="BL41" s="541" t="str">
        <f ca="1">IF(ISERROR($BK41),"",INDEX(INDIRECT($BI$3),SUM($BK$4:$BK41)))</f>
        <v/>
      </c>
    </row>
    <row r="42" spans="2:64" x14ac:dyDescent="0.25">
      <c r="B42" s="134" t="e">
        <f ca="1">MATCH(TRUE,OFFSET(INDIRECT(INDEX(INDIRECT(CT_APtoWLAN!$A$5),MATCH(SelectionTables!$H$4,INDIRECT(CT_APtoWLAN!$G$2),0),0)),0,SUM($B$4:$B41),1,ProductTable!$W$2-SUM($B$4:$B41)),0)</f>
        <v>#N/A</v>
      </c>
      <c r="C42" s="134" t="e">
        <f ca="1">INDEX(INDIRECT(CT_APtoWLAN!$G$3),1,SUM($B$4:$B42))</f>
        <v>#N/A</v>
      </c>
      <c r="D42" s="134" t="b">
        <f ca="1">IF(ISERROR(MATCH(C42,INDIRECT(ProductTable!$Y$4),0)),FALSE,TRUE)</f>
        <v>0</v>
      </c>
      <c r="E42" s="134" t="e">
        <f ca="1">MATCH(TRUE,OFFSET(INDIRECT($D$3),SUM($E$4:$E41),0,ProductTable!$W$2-SUM($E$4:$E41),1),0)</f>
        <v>#N/A</v>
      </c>
      <c r="F42" s="184" t="str">
        <f ca="1">IF(ISERROR($E42),"",INDEX(INDIRECT($C$3),SUM($E$4:$E42)))</f>
        <v/>
      </c>
      <c r="H42" s="134" t="e">
        <f ca="1">MATCH(TRUE,OFFSET(INDIRECT(INDEX(INDIRECT(CT_APtoSTA!$A$5),MATCH(SelectionTables!$H$4,INDIRECT(CT_APtoSTA!$G$2),0),0)),0,SUM($H$4:$H41),1,ProductTable!$AB$2-SUM($H$4:$H41)),0)</f>
        <v>#REF!</v>
      </c>
      <c r="I42" s="248" t="e">
        <f ca="1">INDEX(INDIRECT(CT_APtoSTA!$G$3),1,SUM($H$4:$H42))</f>
        <v>#REF!</v>
      </c>
      <c r="J42" s="134" t="e">
        <f ca="1">MATCH(TRUE,OFFSET(INDIRECT(INDEX(INDIRECT(CT_STAtoWLAN!$B$4),0,MATCH(SelectionTables!$N$4,INDIRECT(CT_STAtoWLAN!$G$3),0))),SUM($J$4:$J41),0,ProductTable!$AB$2-SUM($J$4:$J41)),0)</f>
        <v>#REF!</v>
      </c>
      <c r="K42" s="248" t="str">
        <f ca="1">IF(ISERROR($J42),"",INDEX(INDIRECT(CT_STAtoWLAN!$G$2),SUM($J$4:$J42)))</f>
        <v/>
      </c>
      <c r="L42" s="184" t="b">
        <f t="shared" ca="1" si="3"/>
        <v>0</v>
      </c>
      <c r="M42" s="184" t="e">
        <f ca="1">MATCH(TRUE,OFFSET(INDIRECT($L$3),SUM($M$4:$M41),0),0)</f>
        <v>#N/A</v>
      </c>
      <c r="N42" s="251" t="str">
        <f ca="1">IF(ISERROR(M42),"",INDEX(INDIRECT($I$3),SUM($M$4:$M42)))</f>
        <v/>
      </c>
      <c r="O42" s="184" t="b">
        <f ca="1">IF(N42="",FALSE,IF(ISERROR(MATCH(N42,INDIRECT(ProductTable!$AD$4),0)),FALSE,TRUE))</f>
        <v>0</v>
      </c>
      <c r="P42" s="184" t="e">
        <f ca="1">MATCH(TRUE,OFFSET(INDIRECT($O$3),SUM($P$4:$P41),0),0)</f>
        <v>#N/A</v>
      </c>
      <c r="Q42" s="184" t="str">
        <f ca="1">IF(ISERROR(P42),"",INDEX(INDIRECT($N$3),SUM($P$4:$P42)))</f>
        <v/>
      </c>
      <c r="S42" s="134" t="e">
        <f ca="1">MATCH(TRUE,OFFSET(INDIRECT(INDEX(INDIRECT(CT_STAtoANT!$A$5),MATCH(SelectionTables!$G$4,INDIRECT(CT_STAtoANT!$G$2),0),0)),0,SUM($S$4:$S41),1,ProductTable!$H$2-SUM($S$4:$S41)),0)</f>
        <v>#REF!</v>
      </c>
      <c r="T42" s="184" t="e">
        <f ca="1">INDEX(INDIRECT(CT_STAtoANT!$G$3),1,SUM($S$4:$S42))</f>
        <v>#REF!</v>
      </c>
      <c r="U42" s="184" t="b">
        <f ca="1">IF(ISERROR(MATCH(T42,INDIRECT(ProductTable!$J$4),0)),FALSE,TRUE)</f>
        <v>0</v>
      </c>
      <c r="V42" s="184" t="e">
        <f ca="1">MATCH(TRUE,OFFSET(INDIRECT($U$3),SUM($V$4:$V41),0,ProductTable!$H$2-SUM($V$4:$V41),1),0)</f>
        <v>#REF!</v>
      </c>
      <c r="W42" s="184" t="str">
        <f ca="1">IF(ISERROR($V42),"",INDEX(INDIRECT($T$3),SUM($V$4:$V42)))</f>
        <v/>
      </c>
      <c r="Y42" s="184" t="e">
        <f ca="1">MATCH(TRUE,OFFSET(INDIRECT(INDEX(INDIRECT(CT_APtoC1!$A$5),MATCH(SelectionTables!$H$4,INDIRECT(CT_APtoC1!$G$2),0),0)),0,SUM($Y$4:$Y41),1,ProductTable!$C$2-SUM($Y$4:$Y41)),0)</f>
        <v>#REF!</v>
      </c>
      <c r="Z42" s="251" t="e">
        <f ca="1">INDEX(INDIRECT(CT_APtoC1!$G$3),1,SUM($Y$4:$Y42))</f>
        <v>#REF!</v>
      </c>
      <c r="AA42" s="184" t="e">
        <f ca="1">MATCH(TRUE,OFFSET(INDIRECT(INDEX(INDIRECT(CT_C1toANT!$B$4),0,MATCH(SelectionTables!$J$4,INDIRECT(CT_C1toANT!$G$3),0))),SUM(AA$4:AA41),0,ProductTable!$M$2-SUM(AA$4:AA41)),0)</f>
        <v>#REF!</v>
      </c>
      <c r="AB42" s="251" t="str">
        <f ca="1">IF(ISERROR(AA42),"",INDEX(INDIRECT(CT_C1toANT!$G$2),SUM(AA$4:AA42)))</f>
        <v/>
      </c>
      <c r="AC42" s="184" t="b">
        <f t="shared" ca="1" si="0"/>
        <v>0</v>
      </c>
      <c r="AD42" s="184" t="e">
        <f ca="1">MATCH(TRUE,OFFSET(INDIRECT($AC$3),SUM($AD$4:$AD41),0),0)</f>
        <v>#N/A</v>
      </c>
      <c r="AE42" s="184" t="e">
        <f ca="1">INDEX(INDIRECT($Z$3),SUM($AD$4:$AD42))</f>
        <v>#N/A</v>
      </c>
      <c r="AF42" s="184" t="b">
        <f ca="1">IF(ISERROR(MATCH(AE42,INDIRECT(ProductTable!$O$4),0)),FALSE,TRUE)</f>
        <v>0</v>
      </c>
      <c r="AG42" s="184" t="e">
        <f ca="1">MATCH(TRUE,OFFSET(INDIRECT($AF$3),SUM($AG$4:$AG41),0),0)</f>
        <v>#N/A</v>
      </c>
      <c r="AH42" s="184" t="str">
        <f ca="1">IF(ISERROR(AG42),"",INDEX(INDIRECT($AE$3),SUM($AG$4:$AG42)))</f>
        <v/>
      </c>
      <c r="AJ42" s="184" t="e">
        <f ca="1">MATCH(TRUE,OFFSET(INDIRECT(INDEX(INDIRECT(CT_SAtoC1!$A$5),MATCH(SelectionTables!$K$4,INDIRECT(CT_SAtoC1!$G$2),0),0)),0,SUM($AJ$4:$AJ41),1,ProductTable!$C$2-SUM($AJ$4:$AJ41)),0)</f>
        <v>#REF!</v>
      </c>
      <c r="AK42" s="251" t="e">
        <f ca="1">INDEX(INDIRECT(CT_SAtoC1!$G$3),1,SUM($AJ$4:$AJ42))</f>
        <v>#REF!</v>
      </c>
      <c r="AL42" s="184" t="e">
        <f ca="1">MATCH(TRUE,OFFSET(INDIRECT(INDEX(INDIRECT(CT_C1toANT!$B$4),0,MATCH(SelectionTables!$J$4,INDIRECT(CT_C1toANT!$G$3),0))),SUM(AL$4:AL41),0,ProductTable!$M$2-SUM(AL$4:AL41)),0)</f>
        <v>#REF!</v>
      </c>
      <c r="AM42" s="251" t="str">
        <f ca="1">IF(ISERROR(AL42),"",INDEX(INDIRECT(CT_C1toANT!$G$2),SUM(AL$4:AL42)))</f>
        <v/>
      </c>
      <c r="AN42" s="184" t="b">
        <f t="shared" ca="1" si="1"/>
        <v>0</v>
      </c>
      <c r="AO42" s="184" t="e">
        <f ca="1">MATCH(TRUE,OFFSET(INDIRECT(AN$3),SUM(AO$4:AO41),0),0)</f>
        <v>#N/A</v>
      </c>
      <c r="AP42" s="184" t="e">
        <f ca="1">INDEX(INDIRECT(AK$3),SUM(AO$4:AO42))</f>
        <v>#N/A</v>
      </c>
      <c r="AQ42" s="184" t="b">
        <f ca="1">IF(ISERROR(MATCH(AP42,INDIRECT(ProductTable!$AI$4),0)),FALSE,TRUE)</f>
        <v>0</v>
      </c>
      <c r="AR42" s="184" t="e">
        <f ca="1">MATCH(TRUE,OFFSET(INDIRECT($AQ$3),SUM($AR$4:$AR41),0),0)</f>
        <v>#N/A</v>
      </c>
      <c r="AS42" s="184" t="str">
        <f ca="1">IF(ISERROR(AR42),"",INDEX(INDIRECT(AP$3),SUM(AR$4:AR42)))</f>
        <v/>
      </c>
      <c r="AU42" s="184">
        <f ca="1">IF(OR(EXACT(SelectionTables!$I$4,ProductTable!$L$7),EXACT(SelectionTables!$I$4,"")),"",ProductTable!T45)</f>
        <v>0</v>
      </c>
      <c r="AW42" s="540" t="e">
        <f ca="1">MATCH(TRUE,OFFSET(INDIRECT(INDEX(INDIRECT(CT_STAtoANT!$A$5),MATCH(SelectionTables!$G$4,INDIRECT(CT_STAtoANT!$G$2),0),0)),0,SUM($AW$4:$AW41),1,ProductTable!$H$2-SUM($AW$4:$AW41)),0)</f>
        <v>#REF!</v>
      </c>
      <c r="AX42" s="541" t="e">
        <f ca="1">INDEX(INDIRECT(CT_STAtoANT!$G$3),1,SUM($AW$4:$AW42))</f>
        <v>#REF!</v>
      </c>
      <c r="AY42" s="541" t="b">
        <f ca="1">IF(ISERROR(MATCH(AX42,INDIRECT(ProductTable!$J$4),0)),FALSE,TRUE)</f>
        <v>0</v>
      </c>
      <c r="AZ42" s="541" t="e">
        <f ca="1">MATCH(TRUE,OFFSET(INDIRECT($AY$3),SUM($AZ$4:$AZ41),0,ProductTable!$H$2-SUM($AZ$4:$AZ41),1),0)</f>
        <v>#REF!</v>
      </c>
      <c r="BA42" s="541" t="str">
        <f ca="1">IF(ISERROR($AZ42),"",INDEX(INDIRECT($AX$3),SUM($AZ$4:$AZ42)))</f>
        <v/>
      </c>
      <c r="BB42" s="541" t="e">
        <f ca="1">MATCH(TRUE,OFFSET(INDIRECT(INDEX(INDIRECT(CT_APtoANT!$A$5),MATCH(SelectionTables!$H$4,INDIRECT(CT_APtoANT!$G$2),0),0)),0,SUM($BB$4:$BB41),1,ProductTable!$H$2-SUM($BB$4:$BB41)),0)</f>
        <v>#REF!</v>
      </c>
      <c r="BC42" s="541" t="e">
        <f ca="1">INDEX(INDIRECT(CT_APtoANT!$G$3),1,SUM($BB$4:$BB42))</f>
        <v>#REF!</v>
      </c>
      <c r="BD42" s="541" t="b">
        <f t="shared" ca="1" si="2"/>
        <v>0</v>
      </c>
      <c r="BE42" s="541" t="e">
        <f ca="1">MATCH(TRUE,OFFSET(INDIRECT($BD$3),SUM($BE$4:$BE41),0,ProductTable!$H$2-SUM($BE$4:$BE41),1),0)</f>
        <v>#REF!</v>
      </c>
      <c r="BF42" s="541" t="str">
        <f ca="1">IF(ISERROR($BE42),"",INDEX(INDIRECT($BA$3),SUM($BE$4:$BE42)))</f>
        <v/>
      </c>
      <c r="BH42" s="541" t="e">
        <f ca="1">MATCH(TRUE,OFFSET(INDIRECT(INDEX(INDIRECT(CT_APtoC1!$A$5),MATCH(SelectionTables!$H$4,INDIRECT(CT_APtoC1!$G$2),0),0)),0,SUM($BH$4:$BH41),1,ProductTable!$AG$2-SUM($BH$4:$BH41)),0)</f>
        <v>#REF!</v>
      </c>
      <c r="BI42" s="541" t="e">
        <f ca="1">INDEX(INDIRECT(CT_APtoC1!$G$3),1,SUM($BH$4:$BH42))</f>
        <v>#REF!</v>
      </c>
      <c r="BJ42" s="541" t="b">
        <f ca="1">IF(ISERROR(MATCH(BI42,INDIRECT(ProductTable!$AI$4),0)),FALSE,TRUE)</f>
        <v>0</v>
      </c>
      <c r="BK42" s="541" t="e">
        <f ca="1">MATCH(TRUE,OFFSET(INDIRECT($BJ$3),SUM($BK$4:$BK41),0,ProductTable!$AG$2-SUM($BK$4:$BK41),1),0)</f>
        <v>#N/A</v>
      </c>
      <c r="BL42" s="541" t="str">
        <f ca="1">IF(ISERROR($BK42),"",INDEX(INDIRECT($BI$3),SUM($BK$4:$BK42)))</f>
        <v/>
      </c>
    </row>
    <row r="43" spans="2:64" x14ac:dyDescent="0.25">
      <c r="B43" s="134" t="e">
        <f ca="1">MATCH(TRUE,OFFSET(INDIRECT(INDEX(INDIRECT(CT_APtoWLAN!$A$5),MATCH(SelectionTables!$H$4,INDIRECT(CT_APtoWLAN!$G$2),0),0)),0,SUM($B$4:$B42),1,ProductTable!$W$2-SUM($B$4:$B42)),0)</f>
        <v>#N/A</v>
      </c>
      <c r="C43" s="134" t="e">
        <f ca="1">INDEX(INDIRECT(CT_APtoWLAN!$G$3),1,SUM($B$4:$B43))</f>
        <v>#N/A</v>
      </c>
      <c r="D43" s="134" t="b">
        <f ca="1">IF(ISERROR(MATCH(C43,INDIRECT(ProductTable!$Y$4),0)),FALSE,TRUE)</f>
        <v>0</v>
      </c>
      <c r="E43" s="134" t="e">
        <f ca="1">MATCH(TRUE,OFFSET(INDIRECT($D$3),SUM($E$4:$E42),0,ProductTable!$W$2-SUM($E$4:$E42),1),0)</f>
        <v>#N/A</v>
      </c>
      <c r="F43" s="184" t="str">
        <f ca="1">IF(ISERROR($E43),"",INDEX(INDIRECT($C$3),SUM($E$4:$E43)))</f>
        <v/>
      </c>
      <c r="H43" s="134" t="e">
        <f ca="1">MATCH(TRUE,OFFSET(INDIRECT(INDEX(INDIRECT(CT_APtoSTA!$A$5),MATCH(SelectionTables!$H$4,INDIRECT(CT_APtoSTA!$G$2),0),0)),0,SUM($H$4:$H42),1,ProductTable!$AB$2-SUM($H$4:$H42)),0)</f>
        <v>#REF!</v>
      </c>
      <c r="I43" s="248" t="e">
        <f ca="1">INDEX(INDIRECT(CT_APtoSTA!$G$3),1,SUM($H$4:$H43))</f>
        <v>#REF!</v>
      </c>
      <c r="J43" s="134" t="e">
        <f ca="1">MATCH(TRUE,OFFSET(INDIRECT(INDEX(INDIRECT(CT_STAtoWLAN!$B$4),0,MATCH(SelectionTables!$N$4,INDIRECT(CT_STAtoWLAN!$G$3),0))),SUM($J$4:$J42),0,ProductTable!$AB$2-SUM($J$4:$J42)),0)</f>
        <v>#REF!</v>
      </c>
      <c r="K43" s="248" t="str">
        <f ca="1">IF(ISERROR($J43),"",INDEX(INDIRECT(CT_STAtoWLAN!$G$2),SUM($J$4:$J43)))</f>
        <v/>
      </c>
      <c r="L43" s="184" t="b">
        <f t="shared" ca="1" si="3"/>
        <v>0</v>
      </c>
      <c r="M43" s="184" t="e">
        <f ca="1">MATCH(TRUE,OFFSET(INDIRECT($L$3),SUM($M$4:$M42),0),0)</f>
        <v>#N/A</v>
      </c>
      <c r="N43" s="251" t="str">
        <f ca="1">IF(ISERROR(M43),"",INDEX(INDIRECT($I$3),SUM($M$4:$M43)))</f>
        <v/>
      </c>
      <c r="O43" s="184" t="b">
        <f ca="1">IF(N43="",FALSE,IF(ISERROR(MATCH(N43,INDIRECT(ProductTable!$AD$4),0)),FALSE,TRUE))</f>
        <v>0</v>
      </c>
      <c r="P43" s="184" t="e">
        <f ca="1">MATCH(TRUE,OFFSET(INDIRECT($O$3),SUM($P$4:$P42),0),0)</f>
        <v>#N/A</v>
      </c>
      <c r="Q43" s="184" t="str">
        <f ca="1">IF(ISERROR(P43),"",INDEX(INDIRECT($N$3),SUM($P$4:$P43)))</f>
        <v/>
      </c>
      <c r="S43" s="134" t="e">
        <f ca="1">MATCH(TRUE,OFFSET(INDIRECT(INDEX(INDIRECT(CT_STAtoANT!$A$5),MATCH(SelectionTables!$G$4,INDIRECT(CT_STAtoANT!$G$2),0),0)),0,SUM($S$4:$S42),1,ProductTable!$H$2-SUM($S$4:$S42)),0)</f>
        <v>#REF!</v>
      </c>
      <c r="T43" s="184" t="e">
        <f ca="1">INDEX(INDIRECT(CT_STAtoANT!$G$3),1,SUM($S$4:$S43))</f>
        <v>#REF!</v>
      </c>
      <c r="U43" s="184" t="b">
        <f ca="1">IF(ISERROR(MATCH(T43,INDIRECT(ProductTable!$J$4),0)),FALSE,TRUE)</f>
        <v>0</v>
      </c>
      <c r="V43" s="184" t="e">
        <f ca="1">MATCH(TRUE,OFFSET(INDIRECT($U$3),SUM($V$4:$V42),0,ProductTable!$H$2-SUM($V$4:$V42),1),0)</f>
        <v>#REF!</v>
      </c>
      <c r="W43" s="184" t="str">
        <f ca="1">IF(ISERROR($V43),"",INDEX(INDIRECT($T$3),SUM($V$4:$V43)))</f>
        <v/>
      </c>
      <c r="Y43" s="184" t="e">
        <f ca="1">MATCH(TRUE,OFFSET(INDIRECT(INDEX(INDIRECT(CT_APtoC1!$A$5),MATCH(SelectionTables!$H$4,INDIRECT(CT_APtoC1!$G$2),0),0)),0,SUM($Y$4:$Y42),1,ProductTable!$C$2-SUM($Y$4:$Y42)),0)</f>
        <v>#REF!</v>
      </c>
      <c r="Z43" s="251" t="e">
        <f ca="1">INDEX(INDIRECT(CT_APtoC1!$G$3),1,SUM($Y$4:$Y43))</f>
        <v>#REF!</v>
      </c>
      <c r="AA43" s="184" t="e">
        <f ca="1">MATCH(TRUE,OFFSET(INDIRECT(INDEX(INDIRECT(CT_C1toANT!$B$4),0,MATCH(SelectionTables!$J$4,INDIRECT(CT_C1toANT!$G$3),0))),SUM(AA$4:AA42),0,ProductTable!$M$2-SUM(AA$4:AA42)),0)</f>
        <v>#REF!</v>
      </c>
      <c r="AB43" s="251" t="str">
        <f ca="1">IF(ISERROR(AA43),"",INDEX(INDIRECT(CT_C1toANT!$G$2),SUM(AA$4:AA43)))</f>
        <v/>
      </c>
      <c r="AC43" s="184" t="b">
        <f t="shared" ca="1" si="0"/>
        <v>0</v>
      </c>
      <c r="AD43" s="184" t="e">
        <f ca="1">MATCH(TRUE,OFFSET(INDIRECT($AC$3),SUM($AD$4:$AD42),0),0)</f>
        <v>#N/A</v>
      </c>
      <c r="AE43" s="184" t="e">
        <f ca="1">INDEX(INDIRECT($Z$3),SUM($AD$4:$AD43))</f>
        <v>#N/A</v>
      </c>
      <c r="AF43" s="184" t="b">
        <f ca="1">IF(ISERROR(MATCH(AE43,INDIRECT(ProductTable!$O$4),0)),FALSE,TRUE)</f>
        <v>0</v>
      </c>
      <c r="AG43" s="184" t="e">
        <f ca="1">MATCH(TRUE,OFFSET(INDIRECT($AF$3),SUM($AG$4:$AG42),0),0)</f>
        <v>#N/A</v>
      </c>
      <c r="AH43" s="184" t="str">
        <f ca="1">IF(ISERROR(AG43),"",INDEX(INDIRECT($AE$3),SUM($AG$4:$AG43)))</f>
        <v/>
      </c>
      <c r="AJ43" s="184" t="e">
        <f ca="1">MATCH(TRUE,OFFSET(INDIRECT(INDEX(INDIRECT(CT_SAtoC1!$A$5),MATCH(SelectionTables!$K$4,INDIRECT(CT_SAtoC1!$G$2),0),0)),0,SUM($AJ$4:$AJ42),1,ProductTable!$C$2-SUM($AJ$4:$AJ42)),0)</f>
        <v>#REF!</v>
      </c>
      <c r="AK43" s="251" t="e">
        <f ca="1">INDEX(INDIRECT(CT_SAtoC1!$G$3),1,SUM($AJ$4:$AJ43))</f>
        <v>#REF!</v>
      </c>
      <c r="AL43" s="184" t="e">
        <f ca="1">MATCH(TRUE,OFFSET(INDIRECT(INDEX(INDIRECT(CT_C1toANT!$B$4),0,MATCH(SelectionTables!$J$4,INDIRECT(CT_C1toANT!$G$3),0))),SUM(AL$4:AL42),0,ProductTable!$M$2-SUM(AL$4:AL42)),0)</f>
        <v>#REF!</v>
      </c>
      <c r="AM43" s="251" t="str">
        <f ca="1">IF(ISERROR(AL43),"",INDEX(INDIRECT(CT_C1toANT!$G$2),SUM(AL$4:AL43)))</f>
        <v/>
      </c>
      <c r="AN43" s="184" t="b">
        <f t="shared" ca="1" si="1"/>
        <v>0</v>
      </c>
      <c r="AO43" s="184" t="e">
        <f ca="1">MATCH(TRUE,OFFSET(INDIRECT(AN$3),SUM(AO$4:AO42),0),0)</f>
        <v>#N/A</v>
      </c>
      <c r="AP43" s="184" t="e">
        <f ca="1">INDEX(INDIRECT(AK$3),SUM(AO$4:AO43))</f>
        <v>#N/A</v>
      </c>
      <c r="AQ43" s="184" t="b">
        <f ca="1">IF(ISERROR(MATCH(AP43,INDIRECT(ProductTable!$AI$4),0)),FALSE,TRUE)</f>
        <v>0</v>
      </c>
      <c r="AR43" s="184" t="e">
        <f ca="1">MATCH(TRUE,OFFSET(INDIRECT($AQ$3),SUM($AR$4:$AR42),0),0)</f>
        <v>#N/A</v>
      </c>
      <c r="AS43" s="184" t="str">
        <f ca="1">IF(ISERROR(AR43),"",INDEX(INDIRECT(AP$3),SUM(AR$4:AR43)))</f>
        <v/>
      </c>
      <c r="AU43" s="184">
        <f ca="1">IF(OR(EXACT(SelectionTables!$I$4,ProductTable!$L$7),EXACT(SelectionTables!$I$4,"")),"",ProductTable!T46)</f>
        <v>0</v>
      </c>
      <c r="AW43" s="540" t="e">
        <f ca="1">MATCH(TRUE,OFFSET(INDIRECT(INDEX(INDIRECT(CT_STAtoANT!$A$5),MATCH(SelectionTables!$G$4,INDIRECT(CT_STAtoANT!$G$2),0),0)),0,SUM($AW$4:$AW42),1,ProductTable!$H$2-SUM($AW$4:$AW42)),0)</f>
        <v>#REF!</v>
      </c>
      <c r="AX43" s="541" t="e">
        <f ca="1">INDEX(INDIRECT(CT_STAtoANT!$G$3),1,SUM($AW$4:$AW43))</f>
        <v>#REF!</v>
      </c>
      <c r="AY43" s="541" t="b">
        <f ca="1">IF(ISERROR(MATCH(AX43,INDIRECT(ProductTable!$J$4),0)),FALSE,TRUE)</f>
        <v>0</v>
      </c>
      <c r="AZ43" s="541" t="e">
        <f ca="1">MATCH(TRUE,OFFSET(INDIRECT($AY$3),SUM($AZ$4:$AZ42),0,ProductTable!$H$2-SUM($AZ$4:$AZ42),1),0)</f>
        <v>#REF!</v>
      </c>
      <c r="BA43" s="541" t="str">
        <f ca="1">IF(ISERROR($AZ43),"",INDEX(INDIRECT($AX$3),SUM($AZ$4:$AZ43)))</f>
        <v/>
      </c>
      <c r="BB43" s="541" t="e">
        <f ca="1">MATCH(TRUE,OFFSET(INDIRECT(INDEX(INDIRECT(CT_APtoANT!$A$5),MATCH(SelectionTables!$H$4,INDIRECT(CT_APtoANT!$G$2),0),0)),0,SUM($BB$4:$BB42),1,ProductTable!$H$2-SUM($BB$4:$BB42)),0)</f>
        <v>#REF!</v>
      </c>
      <c r="BC43" s="541" t="e">
        <f ca="1">INDEX(INDIRECT(CT_APtoANT!$G$3),1,SUM($BB$4:$BB43))</f>
        <v>#REF!</v>
      </c>
      <c r="BD43" s="541" t="b">
        <f t="shared" ca="1" si="2"/>
        <v>0</v>
      </c>
      <c r="BE43" s="541" t="e">
        <f ca="1">MATCH(TRUE,OFFSET(INDIRECT($BD$3),SUM($BE$4:$BE42),0,ProductTable!$H$2-SUM($BE$4:$BE42),1),0)</f>
        <v>#REF!</v>
      </c>
      <c r="BF43" s="541" t="str">
        <f ca="1">IF(ISERROR($BE43),"",INDEX(INDIRECT($BA$3),SUM($BE$4:$BE43)))</f>
        <v/>
      </c>
      <c r="BH43" s="541" t="e">
        <f ca="1">MATCH(TRUE,OFFSET(INDIRECT(INDEX(INDIRECT(CT_APtoC1!$A$5),MATCH(SelectionTables!$H$4,INDIRECT(CT_APtoC1!$G$2),0),0)),0,SUM($BH$4:$BH42),1,ProductTable!$AG$2-SUM($BH$4:$BH42)),0)</f>
        <v>#REF!</v>
      </c>
      <c r="BI43" s="541" t="e">
        <f ca="1">INDEX(INDIRECT(CT_APtoC1!$G$3),1,SUM($BH$4:$BH43))</f>
        <v>#REF!</v>
      </c>
      <c r="BJ43" s="541" t="b">
        <f ca="1">IF(ISERROR(MATCH(BI43,INDIRECT(ProductTable!$AI$4),0)),FALSE,TRUE)</f>
        <v>0</v>
      </c>
      <c r="BK43" s="541" t="e">
        <f ca="1">MATCH(TRUE,OFFSET(INDIRECT($BJ$3),SUM($BK$4:$BK42),0,ProductTable!$AG$2-SUM($BK$4:$BK42),1),0)</f>
        <v>#N/A</v>
      </c>
      <c r="BL43" s="541" t="str">
        <f ca="1">IF(ISERROR($BK43),"",INDEX(INDIRECT($BI$3),SUM($BK$4:$BK43)))</f>
        <v/>
      </c>
    </row>
    <row r="44" spans="2:64" x14ac:dyDescent="0.25">
      <c r="B44" s="134" t="e">
        <f ca="1">MATCH(TRUE,OFFSET(INDIRECT(INDEX(INDIRECT(CT_APtoWLAN!$A$5),MATCH(SelectionTables!$H$4,INDIRECT(CT_APtoWLAN!$G$2),0),0)),0,SUM($B$4:$B43),1,ProductTable!$W$2-SUM($B$4:$B43)),0)</f>
        <v>#N/A</v>
      </c>
      <c r="C44" s="134" t="e">
        <f ca="1">INDEX(INDIRECT(CT_APtoWLAN!$G$3),1,SUM($B$4:$B44))</f>
        <v>#N/A</v>
      </c>
      <c r="D44" s="134" t="b">
        <f ca="1">IF(ISERROR(MATCH(C44,INDIRECT(ProductTable!$Y$4),0)),FALSE,TRUE)</f>
        <v>0</v>
      </c>
      <c r="E44" s="134" t="e">
        <f ca="1">MATCH(TRUE,OFFSET(INDIRECT($D$3),SUM($E$4:$E43),0,ProductTable!$W$2-SUM($E$4:$E43),1),0)</f>
        <v>#N/A</v>
      </c>
      <c r="F44" s="184" t="str">
        <f ca="1">IF(ISERROR($E44),"",INDEX(INDIRECT($C$3),SUM($E$4:$E44)))</f>
        <v/>
      </c>
      <c r="H44" s="134" t="e">
        <f ca="1">MATCH(TRUE,OFFSET(INDIRECT(INDEX(INDIRECT(CT_APtoSTA!$A$5),MATCH(SelectionTables!$H$4,INDIRECT(CT_APtoSTA!$G$2),0),0)),0,SUM($H$4:$H43),1,ProductTable!$AB$2-SUM($H$4:$H43)),0)</f>
        <v>#REF!</v>
      </c>
      <c r="I44" s="248" t="e">
        <f ca="1">INDEX(INDIRECT(CT_APtoSTA!$G$3),1,SUM($H$4:$H44))</f>
        <v>#REF!</v>
      </c>
      <c r="J44" s="134" t="e">
        <f ca="1">MATCH(TRUE,OFFSET(INDIRECT(INDEX(INDIRECT(CT_STAtoWLAN!$B$4),0,MATCH(SelectionTables!$N$4,INDIRECT(CT_STAtoWLAN!$G$3),0))),SUM($J$4:$J43),0,ProductTable!$AB$2-SUM($J$4:$J43)),0)</f>
        <v>#REF!</v>
      </c>
      <c r="K44" s="248" t="str">
        <f ca="1">IF(ISERROR($J44),"",INDEX(INDIRECT(CT_STAtoWLAN!$G$2),SUM($J$4:$J44)))</f>
        <v/>
      </c>
      <c r="L44" s="184" t="b">
        <f t="shared" ca="1" si="3"/>
        <v>0</v>
      </c>
      <c r="M44" s="184" t="e">
        <f ca="1">MATCH(TRUE,OFFSET(INDIRECT($L$3),SUM($M$4:$M43),0),0)</f>
        <v>#N/A</v>
      </c>
      <c r="N44" s="251" t="str">
        <f ca="1">IF(ISERROR(M44),"",INDEX(INDIRECT($I$3),SUM($M$4:$M44)))</f>
        <v/>
      </c>
      <c r="O44" s="184" t="b">
        <f ca="1">IF(N44="",FALSE,IF(ISERROR(MATCH(N44,INDIRECT(ProductTable!$AD$4),0)),FALSE,TRUE))</f>
        <v>0</v>
      </c>
      <c r="P44" s="184" t="e">
        <f ca="1">MATCH(TRUE,OFFSET(INDIRECT($O$3),SUM($P$4:$P43),0),0)</f>
        <v>#N/A</v>
      </c>
      <c r="Q44" s="184" t="str">
        <f ca="1">IF(ISERROR(P44),"",INDEX(INDIRECT($N$3),SUM($P$4:$P44)))</f>
        <v/>
      </c>
      <c r="S44" s="134" t="e">
        <f ca="1">MATCH(TRUE,OFFSET(INDIRECT(INDEX(INDIRECT(CT_STAtoANT!$A$5),MATCH(SelectionTables!$G$4,INDIRECT(CT_STAtoANT!$G$2),0),0)),0,SUM($S$4:$S43),1,ProductTable!$H$2-SUM($S$4:$S43)),0)</f>
        <v>#REF!</v>
      </c>
      <c r="T44" s="184" t="e">
        <f ca="1">INDEX(INDIRECT(CT_STAtoANT!$G$3),1,SUM($S$4:$S44))</f>
        <v>#REF!</v>
      </c>
      <c r="U44" s="184" t="b">
        <f ca="1">IF(ISERROR(MATCH(T44,INDIRECT(ProductTable!$J$4),0)),FALSE,TRUE)</f>
        <v>0</v>
      </c>
      <c r="V44" s="184" t="e">
        <f ca="1">MATCH(TRUE,OFFSET(INDIRECT($U$3),SUM($V$4:$V43),0,ProductTable!$H$2-SUM($V$4:$V43),1),0)</f>
        <v>#REF!</v>
      </c>
      <c r="W44" s="184" t="str">
        <f ca="1">IF(ISERROR($V44),"",INDEX(INDIRECT($T$3),SUM($V$4:$V44)))</f>
        <v/>
      </c>
      <c r="Y44" s="184" t="e">
        <f ca="1">MATCH(TRUE,OFFSET(INDIRECT(INDEX(INDIRECT(CT_APtoC1!$A$5),MATCH(SelectionTables!$H$4,INDIRECT(CT_APtoC1!$G$2),0),0)),0,SUM($Y$4:$Y43),1,ProductTable!$C$2-SUM($Y$4:$Y43)),0)</f>
        <v>#REF!</v>
      </c>
      <c r="Z44" s="251" t="e">
        <f ca="1">INDEX(INDIRECT(CT_APtoC1!$G$3),1,SUM($Y$4:$Y44))</f>
        <v>#REF!</v>
      </c>
      <c r="AA44" s="184" t="e">
        <f ca="1">MATCH(TRUE,OFFSET(INDIRECT(INDEX(INDIRECT(CT_C1toANT!$B$4),0,MATCH(SelectionTables!$J$4,INDIRECT(CT_C1toANT!$G$3),0))),SUM(AA$4:AA43),0,ProductTable!$M$2-SUM(AA$4:AA43)),0)</f>
        <v>#REF!</v>
      </c>
      <c r="AB44" s="251" t="str">
        <f ca="1">IF(ISERROR(AA44),"",INDEX(INDIRECT(CT_C1toANT!$G$2),SUM(AA$4:AA44)))</f>
        <v/>
      </c>
      <c r="AC44" s="184" t="b">
        <f t="shared" ca="1" si="0"/>
        <v>0</v>
      </c>
      <c r="AD44" s="184" t="e">
        <f ca="1">MATCH(TRUE,OFFSET(INDIRECT($AC$3),SUM($AD$4:$AD43),0),0)</f>
        <v>#N/A</v>
      </c>
      <c r="AE44" s="184" t="e">
        <f ca="1">INDEX(INDIRECT($Z$3),SUM($AD$4:$AD44))</f>
        <v>#N/A</v>
      </c>
      <c r="AF44" s="184" t="b">
        <f ca="1">IF(ISERROR(MATCH(AE44,INDIRECT(ProductTable!$O$4),0)),FALSE,TRUE)</f>
        <v>0</v>
      </c>
      <c r="AG44" s="184" t="e">
        <f ca="1">MATCH(TRUE,OFFSET(INDIRECT($AF$3),SUM($AG$4:$AG43),0),0)</f>
        <v>#N/A</v>
      </c>
      <c r="AH44" s="184" t="str">
        <f ca="1">IF(ISERROR(AG44),"",INDEX(INDIRECT($AE$3),SUM($AG$4:$AG44)))</f>
        <v/>
      </c>
      <c r="AJ44" s="184" t="e">
        <f ca="1">MATCH(TRUE,OFFSET(INDIRECT(INDEX(INDIRECT(CT_SAtoC1!$A$5),MATCH(SelectionTables!$K$4,INDIRECT(CT_SAtoC1!$G$2),0),0)),0,SUM($AJ$4:$AJ43),1,ProductTable!$C$2-SUM($AJ$4:$AJ43)),0)</f>
        <v>#REF!</v>
      </c>
      <c r="AK44" s="251" t="e">
        <f ca="1">INDEX(INDIRECT(CT_SAtoC1!$G$3),1,SUM($AJ$4:$AJ44))</f>
        <v>#REF!</v>
      </c>
      <c r="AL44" s="184" t="e">
        <f ca="1">MATCH(TRUE,OFFSET(INDIRECT(INDEX(INDIRECT(CT_C1toANT!$B$4),0,MATCH(SelectionTables!$J$4,INDIRECT(CT_C1toANT!$G$3),0))),SUM(AL$4:AL43),0,ProductTable!$M$2-SUM(AL$4:AL43)),0)</f>
        <v>#REF!</v>
      </c>
      <c r="AM44" s="251" t="str">
        <f ca="1">IF(ISERROR(AL44),"",INDEX(INDIRECT(CT_C1toANT!$G$2),SUM(AL$4:AL44)))</f>
        <v/>
      </c>
      <c r="AN44" s="184" t="b">
        <f t="shared" ca="1" si="1"/>
        <v>0</v>
      </c>
      <c r="AO44" s="184" t="e">
        <f ca="1">MATCH(TRUE,OFFSET(INDIRECT(AN$3),SUM(AO$4:AO43),0),0)</f>
        <v>#N/A</v>
      </c>
      <c r="AP44" s="184" t="e">
        <f ca="1">INDEX(INDIRECT(AK$3),SUM(AO$4:AO44))</f>
        <v>#N/A</v>
      </c>
      <c r="AQ44" s="184" t="b">
        <f ca="1">IF(ISERROR(MATCH(AP44,INDIRECT(ProductTable!$AI$4),0)),FALSE,TRUE)</f>
        <v>0</v>
      </c>
      <c r="AR44" s="184" t="e">
        <f ca="1">MATCH(TRUE,OFFSET(INDIRECT($AQ$3),SUM($AR$4:$AR43),0),0)</f>
        <v>#N/A</v>
      </c>
      <c r="AS44" s="184" t="str">
        <f ca="1">IF(ISERROR(AR44),"",INDEX(INDIRECT(AP$3),SUM(AR$4:AR44)))</f>
        <v/>
      </c>
      <c r="AU44" s="184">
        <f ca="1">IF(OR(EXACT(SelectionTables!$I$4,ProductTable!$L$7),EXACT(SelectionTables!$I$4,"")),"",ProductTable!T47)</f>
        <v>0</v>
      </c>
      <c r="AW44" s="540" t="e">
        <f ca="1">MATCH(TRUE,OFFSET(INDIRECT(INDEX(INDIRECT(CT_STAtoANT!$A$5),MATCH(SelectionTables!$G$4,INDIRECT(CT_STAtoANT!$G$2),0),0)),0,SUM($AW$4:$AW43),1,ProductTable!$H$2-SUM($AW$4:$AW43)),0)</f>
        <v>#REF!</v>
      </c>
      <c r="AX44" s="541" t="e">
        <f ca="1">INDEX(INDIRECT(CT_STAtoANT!$G$3),1,SUM($AW$4:$AW44))</f>
        <v>#REF!</v>
      </c>
      <c r="AY44" s="541" t="b">
        <f ca="1">IF(ISERROR(MATCH(AX44,INDIRECT(ProductTable!$J$4),0)),FALSE,TRUE)</f>
        <v>0</v>
      </c>
      <c r="AZ44" s="541" t="e">
        <f ca="1">MATCH(TRUE,OFFSET(INDIRECT($AY$3),SUM($AZ$4:$AZ43),0,ProductTable!$H$2-SUM($AZ$4:$AZ43),1),0)</f>
        <v>#REF!</v>
      </c>
      <c r="BA44" s="541" t="str">
        <f ca="1">IF(ISERROR($AZ44),"",INDEX(INDIRECT($AX$3),SUM($AZ$4:$AZ44)))</f>
        <v/>
      </c>
      <c r="BB44" s="541" t="e">
        <f ca="1">MATCH(TRUE,OFFSET(INDIRECT(INDEX(INDIRECT(CT_APtoANT!$A$5),MATCH(SelectionTables!$H$4,INDIRECT(CT_APtoANT!$G$2),0),0)),0,SUM($BB$4:$BB43),1,ProductTable!$H$2-SUM($BB$4:$BB43)),0)</f>
        <v>#REF!</v>
      </c>
      <c r="BC44" s="541" t="e">
        <f ca="1">INDEX(INDIRECT(CT_APtoANT!$G$3),1,SUM($BB$4:$BB44))</f>
        <v>#REF!</v>
      </c>
      <c r="BD44" s="541" t="b">
        <f t="shared" ca="1" si="2"/>
        <v>0</v>
      </c>
      <c r="BE44" s="541" t="e">
        <f ca="1">MATCH(TRUE,OFFSET(INDIRECT($BD$3),SUM($BE$4:$BE43),0,ProductTable!$H$2-SUM($BE$4:$BE43),1),0)</f>
        <v>#REF!</v>
      </c>
      <c r="BF44" s="541" t="str">
        <f ca="1">IF(ISERROR($BE44),"",INDEX(INDIRECT($BA$3),SUM($BE$4:$BE44)))</f>
        <v/>
      </c>
      <c r="BH44" s="541" t="e">
        <f ca="1">MATCH(TRUE,OFFSET(INDIRECT(INDEX(INDIRECT(CT_APtoC1!$A$5),MATCH(SelectionTables!$H$4,INDIRECT(CT_APtoC1!$G$2),0),0)),0,SUM($BH$4:$BH43),1,ProductTable!$AG$2-SUM($BH$4:$BH43)),0)</f>
        <v>#REF!</v>
      </c>
      <c r="BI44" s="541" t="e">
        <f ca="1">INDEX(INDIRECT(CT_APtoC1!$G$3),1,SUM($BH$4:$BH44))</f>
        <v>#REF!</v>
      </c>
      <c r="BJ44" s="541" t="b">
        <f ca="1">IF(ISERROR(MATCH(BI44,INDIRECT(ProductTable!$AI$4),0)),FALSE,TRUE)</f>
        <v>0</v>
      </c>
      <c r="BK44" s="541" t="e">
        <f ca="1">MATCH(TRUE,OFFSET(INDIRECT($BJ$3),SUM($BK$4:$BK43),0,ProductTable!$AG$2-SUM($BK$4:$BK43),1),0)</f>
        <v>#N/A</v>
      </c>
      <c r="BL44" s="541" t="str">
        <f ca="1">IF(ISERROR($BK44),"",INDEX(INDIRECT($BI$3),SUM($BK$4:$BK44)))</f>
        <v/>
      </c>
    </row>
    <row r="45" spans="2:64" x14ac:dyDescent="0.25">
      <c r="B45" s="134" t="e">
        <f ca="1">MATCH(TRUE,OFFSET(INDIRECT(INDEX(INDIRECT(CT_APtoWLAN!$A$5),MATCH(SelectionTables!$H$4,INDIRECT(CT_APtoWLAN!$G$2),0),0)),0,SUM($B$4:$B44),1,ProductTable!$W$2-SUM($B$4:$B44)),0)</f>
        <v>#N/A</v>
      </c>
      <c r="C45" s="134" t="e">
        <f ca="1">INDEX(INDIRECT(CT_APtoWLAN!$G$3),1,SUM($B$4:$B45))</f>
        <v>#N/A</v>
      </c>
      <c r="D45" s="134" t="b">
        <f ca="1">IF(ISERROR(MATCH(C45,INDIRECT(ProductTable!$Y$4),0)),FALSE,TRUE)</f>
        <v>0</v>
      </c>
      <c r="E45" s="134" t="e">
        <f ca="1">MATCH(TRUE,OFFSET(INDIRECT($D$3),SUM($E$4:$E44),0,ProductTable!$W$2-SUM($E$4:$E44),1),0)</f>
        <v>#N/A</v>
      </c>
      <c r="F45" s="184" t="str">
        <f ca="1">IF(ISERROR($E45),"",INDEX(INDIRECT($C$3),SUM($E$4:$E45)))</f>
        <v/>
      </c>
      <c r="H45" s="134" t="e">
        <f ca="1">MATCH(TRUE,OFFSET(INDIRECT(INDEX(INDIRECT(CT_APtoSTA!$A$5),MATCH(SelectionTables!$H$4,INDIRECT(CT_APtoSTA!$G$2),0),0)),0,SUM($H$4:$H44),1,ProductTable!$AB$2-SUM($H$4:$H44)),0)</f>
        <v>#REF!</v>
      </c>
      <c r="I45" s="248" t="e">
        <f ca="1">INDEX(INDIRECT(CT_APtoSTA!$G$3),1,SUM($H$4:$H45))</f>
        <v>#REF!</v>
      </c>
      <c r="J45" s="134" t="e">
        <f ca="1">MATCH(TRUE,OFFSET(INDIRECT(INDEX(INDIRECT(CT_STAtoWLAN!$B$4),0,MATCH(SelectionTables!$N$4,INDIRECT(CT_STAtoWLAN!$G$3),0))),SUM($J$4:$J44),0,ProductTable!$AB$2-SUM($J$4:$J44)),0)</f>
        <v>#REF!</v>
      </c>
      <c r="K45" s="248" t="str">
        <f ca="1">IF(ISERROR($J45),"",INDEX(INDIRECT(CT_STAtoWLAN!$G$2),SUM($J$4:$J45)))</f>
        <v/>
      </c>
      <c r="L45" s="184" t="b">
        <f t="shared" ca="1" si="3"/>
        <v>0</v>
      </c>
      <c r="M45" s="184" t="e">
        <f ca="1">MATCH(TRUE,OFFSET(INDIRECT($L$3),SUM($M$4:$M44),0),0)</f>
        <v>#N/A</v>
      </c>
      <c r="N45" s="251" t="str">
        <f ca="1">IF(ISERROR(M45),"",INDEX(INDIRECT($I$3),SUM($M$4:$M45)))</f>
        <v/>
      </c>
      <c r="O45" s="184" t="b">
        <f ca="1">IF(N45="",FALSE,IF(ISERROR(MATCH(N45,INDIRECT(ProductTable!$AD$4),0)),FALSE,TRUE))</f>
        <v>0</v>
      </c>
      <c r="P45" s="184" t="e">
        <f ca="1">MATCH(TRUE,OFFSET(INDIRECT($O$3),SUM($P$4:$P44),0),0)</f>
        <v>#N/A</v>
      </c>
      <c r="Q45" s="184" t="str">
        <f ca="1">IF(ISERROR(P45),"",INDEX(INDIRECT($N$3),SUM($P$4:$P45)))</f>
        <v/>
      </c>
      <c r="S45" s="134" t="e">
        <f ca="1">MATCH(TRUE,OFFSET(INDIRECT(INDEX(INDIRECT(CT_STAtoANT!$A$5),MATCH(SelectionTables!$G$4,INDIRECT(CT_STAtoANT!$G$2),0),0)),0,SUM($S$4:$S44),1,ProductTable!$H$2-SUM($S$4:$S44)),0)</f>
        <v>#REF!</v>
      </c>
      <c r="T45" s="184" t="e">
        <f ca="1">INDEX(INDIRECT(CT_STAtoANT!$G$3),1,SUM($S$4:$S45))</f>
        <v>#REF!</v>
      </c>
      <c r="U45" s="184" t="b">
        <f ca="1">IF(ISERROR(MATCH(T45,INDIRECT(ProductTable!$J$4),0)),FALSE,TRUE)</f>
        <v>0</v>
      </c>
      <c r="V45" s="184" t="e">
        <f ca="1">MATCH(TRUE,OFFSET(INDIRECT($U$3),SUM($V$4:$V44),0,ProductTable!$H$2-SUM($V$4:$V44),1),0)</f>
        <v>#REF!</v>
      </c>
      <c r="W45" s="184" t="str">
        <f ca="1">IF(ISERROR($V45),"",INDEX(INDIRECT($T$3),SUM($V$4:$V45)))</f>
        <v/>
      </c>
      <c r="Y45" s="184" t="e">
        <f ca="1">MATCH(TRUE,OFFSET(INDIRECT(INDEX(INDIRECT(CT_APtoC1!$A$5),MATCH(SelectionTables!$H$4,INDIRECT(CT_APtoC1!$G$2),0),0)),0,SUM($Y$4:$Y44),1,ProductTable!$C$2-SUM($Y$4:$Y44)),0)</f>
        <v>#REF!</v>
      </c>
      <c r="Z45" s="251" t="e">
        <f ca="1">INDEX(INDIRECT(CT_APtoC1!$G$3),1,SUM($Y$4:$Y45))</f>
        <v>#REF!</v>
      </c>
      <c r="AA45" s="184" t="e">
        <f ca="1">MATCH(TRUE,OFFSET(INDIRECT(INDEX(INDIRECT(CT_C1toANT!$B$4),0,MATCH(SelectionTables!$J$4,INDIRECT(CT_C1toANT!$G$3),0))),SUM(AA$4:AA44),0,ProductTable!$M$2-SUM(AA$4:AA44)),0)</f>
        <v>#REF!</v>
      </c>
      <c r="AB45" s="251" t="str">
        <f ca="1">IF(ISERROR(AA45),"",INDEX(INDIRECT(CT_C1toANT!$G$2),SUM(AA$4:AA45)))</f>
        <v/>
      </c>
      <c r="AC45" s="184" t="b">
        <f t="shared" ca="1" si="0"/>
        <v>0</v>
      </c>
      <c r="AD45" s="184" t="e">
        <f ca="1">MATCH(TRUE,OFFSET(INDIRECT($AC$3),SUM($AD$4:$AD44),0),0)</f>
        <v>#N/A</v>
      </c>
      <c r="AE45" s="184" t="e">
        <f ca="1">INDEX(INDIRECT($Z$3),SUM($AD$4:$AD45))</f>
        <v>#N/A</v>
      </c>
      <c r="AF45" s="184" t="b">
        <f ca="1">IF(ISERROR(MATCH(AE45,INDIRECT(ProductTable!$O$4),0)),FALSE,TRUE)</f>
        <v>0</v>
      </c>
      <c r="AG45" s="184" t="e">
        <f ca="1">MATCH(TRUE,OFFSET(INDIRECT($AF$3),SUM($AG$4:$AG44),0),0)</f>
        <v>#N/A</v>
      </c>
      <c r="AH45" s="184" t="str">
        <f ca="1">IF(ISERROR(AG45),"",INDEX(INDIRECT($AE$3),SUM($AG$4:$AG45)))</f>
        <v/>
      </c>
      <c r="AJ45" s="184" t="e">
        <f ca="1">MATCH(TRUE,OFFSET(INDIRECT(INDEX(INDIRECT(CT_SAtoC1!$A$5),MATCH(SelectionTables!$K$4,INDIRECT(CT_SAtoC1!$G$2),0),0)),0,SUM($AJ$4:$AJ44),1,ProductTable!$C$2-SUM($AJ$4:$AJ44)),0)</f>
        <v>#REF!</v>
      </c>
      <c r="AK45" s="251" t="e">
        <f ca="1">INDEX(INDIRECT(CT_SAtoC1!$G$3),1,SUM($AJ$4:$AJ45))</f>
        <v>#REF!</v>
      </c>
      <c r="AL45" s="184" t="e">
        <f ca="1">MATCH(TRUE,OFFSET(INDIRECT(INDEX(INDIRECT(CT_C1toANT!$B$4),0,MATCH(SelectionTables!$J$4,INDIRECT(CT_C1toANT!$G$3),0))),SUM(AL$4:AL44),0,ProductTable!$M$2-SUM(AL$4:AL44)),0)</f>
        <v>#REF!</v>
      </c>
      <c r="AM45" s="251" t="str">
        <f ca="1">IF(ISERROR(AL45),"",INDEX(INDIRECT(CT_C1toANT!$G$2),SUM(AL$4:AL45)))</f>
        <v/>
      </c>
      <c r="AN45" s="184" t="b">
        <f t="shared" ca="1" si="1"/>
        <v>0</v>
      </c>
      <c r="AO45" s="184" t="e">
        <f ca="1">MATCH(TRUE,OFFSET(INDIRECT(AN$3),SUM(AO$4:AO44),0),0)</f>
        <v>#N/A</v>
      </c>
      <c r="AP45" s="184" t="e">
        <f ca="1">INDEX(INDIRECT(AK$3),SUM(AO$4:AO45))</f>
        <v>#N/A</v>
      </c>
      <c r="AQ45" s="184" t="b">
        <f ca="1">IF(ISERROR(MATCH(AP45,INDIRECT(ProductTable!$AI$4),0)),FALSE,TRUE)</f>
        <v>0</v>
      </c>
      <c r="AR45" s="184" t="e">
        <f ca="1">MATCH(TRUE,OFFSET(INDIRECT($AQ$3),SUM($AR$4:$AR44),0),0)</f>
        <v>#N/A</v>
      </c>
      <c r="AS45" s="184" t="str">
        <f ca="1">IF(ISERROR(AR45),"",INDEX(INDIRECT(AP$3),SUM(AR$4:AR45)))</f>
        <v/>
      </c>
      <c r="AU45" s="184">
        <f ca="1">IF(OR(EXACT(SelectionTables!$I$4,ProductTable!$L$7),EXACT(SelectionTables!$I$4,"")),"",ProductTable!T48)</f>
        <v>0</v>
      </c>
      <c r="AW45" s="540" t="e">
        <f ca="1">MATCH(TRUE,OFFSET(INDIRECT(INDEX(INDIRECT(CT_STAtoANT!$A$5),MATCH(SelectionTables!$G$4,INDIRECT(CT_STAtoANT!$G$2),0),0)),0,SUM($AW$4:$AW44),1,ProductTable!$H$2-SUM($AW$4:$AW44)),0)</f>
        <v>#REF!</v>
      </c>
      <c r="AX45" s="541" t="e">
        <f ca="1">INDEX(INDIRECT(CT_STAtoANT!$G$3),1,SUM($AW$4:$AW45))</f>
        <v>#REF!</v>
      </c>
      <c r="AY45" s="541" t="b">
        <f ca="1">IF(ISERROR(MATCH(AX45,INDIRECT(ProductTable!$J$4),0)),FALSE,TRUE)</f>
        <v>0</v>
      </c>
      <c r="AZ45" s="541" t="e">
        <f ca="1">MATCH(TRUE,OFFSET(INDIRECT($AY$3),SUM($AZ$4:$AZ44),0,ProductTable!$H$2-SUM($AZ$4:$AZ44),1),0)</f>
        <v>#REF!</v>
      </c>
      <c r="BA45" s="541" t="str">
        <f ca="1">IF(ISERROR($AZ45),"",INDEX(INDIRECT($AX$3),SUM($AZ$4:$AZ45)))</f>
        <v/>
      </c>
      <c r="BB45" s="541" t="e">
        <f ca="1">MATCH(TRUE,OFFSET(INDIRECT(INDEX(INDIRECT(CT_APtoANT!$A$5),MATCH(SelectionTables!$H$4,INDIRECT(CT_APtoANT!$G$2),0),0)),0,SUM($BB$4:$BB44),1,ProductTable!$H$2-SUM($BB$4:$BB44)),0)</f>
        <v>#REF!</v>
      </c>
      <c r="BC45" s="541" t="e">
        <f ca="1">INDEX(INDIRECT(CT_APtoANT!$G$3),1,SUM($BB$4:$BB45))</f>
        <v>#REF!</v>
      </c>
      <c r="BD45" s="541" t="b">
        <f t="shared" ca="1" si="2"/>
        <v>0</v>
      </c>
      <c r="BE45" s="541" t="e">
        <f ca="1">MATCH(TRUE,OFFSET(INDIRECT($BD$3),SUM($BE$4:$BE44),0,ProductTable!$H$2-SUM($BE$4:$BE44),1),0)</f>
        <v>#REF!</v>
      </c>
      <c r="BF45" s="541" t="str">
        <f ca="1">IF(ISERROR($BE45),"",INDEX(INDIRECT($BA$3),SUM($BE$4:$BE45)))</f>
        <v/>
      </c>
      <c r="BH45" s="541" t="e">
        <f ca="1">MATCH(TRUE,OFFSET(INDIRECT(INDEX(INDIRECT(CT_APtoC1!$A$5),MATCH(SelectionTables!$H$4,INDIRECT(CT_APtoC1!$G$2),0),0)),0,SUM($BH$4:$BH44),1,ProductTable!$AG$2-SUM($BH$4:$BH44)),0)</f>
        <v>#REF!</v>
      </c>
      <c r="BI45" s="541" t="e">
        <f ca="1">INDEX(INDIRECT(CT_APtoC1!$G$3),1,SUM($BH$4:$BH45))</f>
        <v>#REF!</v>
      </c>
      <c r="BJ45" s="541" t="b">
        <f ca="1">IF(ISERROR(MATCH(BI45,INDIRECT(ProductTable!$AI$4),0)),FALSE,TRUE)</f>
        <v>0</v>
      </c>
      <c r="BK45" s="541" t="e">
        <f ca="1">MATCH(TRUE,OFFSET(INDIRECT($BJ$3),SUM($BK$4:$BK44),0,ProductTable!$AG$2-SUM($BK$4:$BK44),1),0)</f>
        <v>#N/A</v>
      </c>
      <c r="BL45" s="541" t="str">
        <f ca="1">IF(ISERROR($BK45),"",INDEX(INDIRECT($BI$3),SUM($BK$4:$BK45)))</f>
        <v/>
      </c>
    </row>
    <row r="46" spans="2:64" x14ac:dyDescent="0.25">
      <c r="D46" s="91"/>
    </row>
    <row r="47" spans="2:64" x14ac:dyDescent="0.25">
      <c r="D47" s="91"/>
    </row>
    <row r="48" spans="2:64" x14ac:dyDescent="0.25">
      <c r="D48" s="91"/>
    </row>
    <row r="49" spans="4:4" x14ac:dyDescent="0.25">
      <c r="D49" s="91"/>
    </row>
    <row r="50" spans="4:4" x14ac:dyDescent="0.25">
      <c r="D50" s="91"/>
    </row>
    <row r="51" spans="4:4" x14ac:dyDescent="0.25">
      <c r="D51" s="91"/>
    </row>
    <row r="52" spans="4:4" x14ac:dyDescent="0.25">
      <c r="D52" s="91"/>
    </row>
    <row r="53" spans="4:4" x14ac:dyDescent="0.25">
      <c r="D53" s="91"/>
    </row>
    <row r="54" spans="4:4" x14ac:dyDescent="0.25">
      <c r="D54" s="91"/>
    </row>
    <row r="55" spans="4:4" x14ac:dyDescent="0.25">
      <c r="D55" s="91"/>
    </row>
    <row r="56" spans="4:4" x14ac:dyDescent="0.25">
      <c r="D56" s="91"/>
    </row>
    <row r="57" spans="4:4" x14ac:dyDescent="0.25">
      <c r="D57" s="91"/>
    </row>
    <row r="58" spans="4:4" x14ac:dyDescent="0.25">
      <c r="D58" s="91"/>
    </row>
    <row r="59" spans="4:4" x14ac:dyDescent="0.25">
      <c r="D59" s="91"/>
    </row>
    <row r="60" spans="4:4" x14ac:dyDescent="0.25">
      <c r="D60" s="91"/>
    </row>
    <row r="61" spans="4:4" x14ac:dyDescent="0.25">
      <c r="D61" s="91"/>
    </row>
    <row r="62" spans="4:4" x14ac:dyDescent="0.25">
      <c r="D62" s="91"/>
    </row>
    <row r="63" spans="4:4" x14ac:dyDescent="0.25">
      <c r="D63" s="91"/>
    </row>
    <row r="64" spans="4:4" x14ac:dyDescent="0.25">
      <c r="D64" s="91"/>
    </row>
    <row r="65" spans="4:4" x14ac:dyDescent="0.25">
      <c r="D65" s="91"/>
    </row>
    <row r="66" spans="4:4" x14ac:dyDescent="0.25">
      <c r="D66" s="91"/>
    </row>
    <row r="67" spans="4:4" x14ac:dyDescent="0.25">
      <c r="D67" s="91"/>
    </row>
    <row r="68" spans="4:4" x14ac:dyDescent="0.25">
      <c r="D68" s="91"/>
    </row>
    <row r="69" spans="4:4" x14ac:dyDescent="0.25">
      <c r="D69" s="91"/>
    </row>
    <row r="70" spans="4:4" x14ac:dyDescent="0.25">
      <c r="D70" s="91"/>
    </row>
    <row r="71" spans="4:4" x14ac:dyDescent="0.25">
      <c r="D71" s="91"/>
    </row>
    <row r="72" spans="4:4" x14ac:dyDescent="0.25">
      <c r="D72" s="91"/>
    </row>
    <row r="73" spans="4:4" x14ac:dyDescent="0.25">
      <c r="D73" s="91"/>
    </row>
    <row r="74" spans="4:4" x14ac:dyDescent="0.25">
      <c r="D74" s="91"/>
    </row>
    <row r="75" spans="4:4" x14ac:dyDescent="0.25">
      <c r="D75" s="91"/>
    </row>
    <row r="76" spans="4:4" x14ac:dyDescent="0.25">
      <c r="D76" s="91"/>
    </row>
    <row r="77" spans="4:4" x14ac:dyDescent="0.25">
      <c r="D77" s="91"/>
    </row>
    <row r="78" spans="4:4" x14ac:dyDescent="0.25">
      <c r="D78" s="91"/>
    </row>
    <row r="79" spans="4:4" x14ac:dyDescent="0.25">
      <c r="D79" s="91"/>
    </row>
    <row r="80" spans="4:4" x14ac:dyDescent="0.25">
      <c r="D80" s="91"/>
    </row>
    <row r="81" spans="4:4" x14ac:dyDescent="0.25">
      <c r="D81" s="91"/>
    </row>
    <row r="82" spans="4:4" x14ac:dyDescent="0.25">
      <c r="D82" s="91"/>
    </row>
    <row r="83" spans="4:4" x14ac:dyDescent="0.25">
      <c r="D83" s="91"/>
    </row>
    <row r="84" spans="4:4" x14ac:dyDescent="0.25">
      <c r="D84" s="91"/>
    </row>
    <row r="85" spans="4:4" x14ac:dyDescent="0.25">
      <c r="D85" s="91"/>
    </row>
    <row r="86" spans="4:4" x14ac:dyDescent="0.25">
      <c r="D86" s="91"/>
    </row>
    <row r="87" spans="4:4" x14ac:dyDescent="0.25">
      <c r="D87" s="91"/>
    </row>
    <row r="88" spans="4:4" x14ac:dyDescent="0.25">
      <c r="D88" s="91"/>
    </row>
    <row r="89" spans="4:4" x14ac:dyDescent="0.25">
      <c r="D89" s="91"/>
    </row>
    <row r="90" spans="4:4" x14ac:dyDescent="0.25">
      <c r="D90" s="91"/>
    </row>
    <row r="91" spans="4:4" x14ac:dyDescent="0.25">
      <c r="D91" s="91"/>
    </row>
    <row r="92" spans="4:4" x14ac:dyDescent="0.25">
      <c r="D92" s="91"/>
    </row>
    <row r="93" spans="4:4" x14ac:dyDescent="0.25">
      <c r="D93" s="91"/>
    </row>
    <row r="94" spans="4:4" x14ac:dyDescent="0.25">
      <c r="D94" s="91"/>
    </row>
    <row r="95" spans="4:4" x14ac:dyDescent="0.25">
      <c r="D95" s="91"/>
    </row>
    <row r="96" spans="4:4" x14ac:dyDescent="0.25">
      <c r="D96" s="91"/>
    </row>
    <row r="97" spans="4:4" x14ac:dyDescent="0.25">
      <c r="D97" s="91"/>
    </row>
    <row r="98" spans="4:4" x14ac:dyDescent="0.25">
      <c r="D98" s="91"/>
    </row>
    <row r="99" spans="4:4" x14ac:dyDescent="0.25">
      <c r="D99" s="91"/>
    </row>
    <row r="100" spans="4:4" x14ac:dyDescent="0.25">
      <c r="D100" s="91"/>
    </row>
    <row r="101" spans="4:4" x14ac:dyDescent="0.25">
      <c r="D101" s="91"/>
    </row>
    <row r="102" spans="4:4" x14ac:dyDescent="0.25">
      <c r="D102" s="91"/>
    </row>
    <row r="103" spans="4:4" x14ac:dyDescent="0.25">
      <c r="D103" s="91"/>
    </row>
    <row r="104" spans="4:4" x14ac:dyDescent="0.25">
      <c r="D104" s="91"/>
    </row>
    <row r="105" spans="4:4" x14ac:dyDescent="0.25">
      <c r="D105" s="91"/>
    </row>
    <row r="106" spans="4:4" x14ac:dyDescent="0.25">
      <c r="D106" s="91"/>
    </row>
    <row r="107" spans="4:4" x14ac:dyDescent="0.25">
      <c r="D107" s="91"/>
    </row>
    <row r="108" spans="4:4" x14ac:dyDescent="0.25">
      <c r="D108" s="91"/>
    </row>
    <row r="109" spans="4:4" x14ac:dyDescent="0.25">
      <c r="D109" s="91"/>
    </row>
    <row r="110" spans="4:4" x14ac:dyDescent="0.25">
      <c r="D110" s="91"/>
    </row>
    <row r="111" spans="4:4" x14ac:dyDescent="0.25">
      <c r="D111" s="91"/>
    </row>
    <row r="112" spans="4:4" x14ac:dyDescent="0.25">
      <c r="D112" s="91"/>
    </row>
    <row r="113" spans="4:4" x14ac:dyDescent="0.25">
      <c r="D113" s="91"/>
    </row>
    <row r="114" spans="4:4" x14ac:dyDescent="0.25">
      <c r="D114" s="91"/>
    </row>
    <row r="115" spans="4:4" x14ac:dyDescent="0.25">
      <c r="D115" s="91"/>
    </row>
    <row r="116" spans="4:4" x14ac:dyDescent="0.25">
      <c r="D116" s="91"/>
    </row>
    <row r="117" spans="4:4" x14ac:dyDescent="0.25">
      <c r="D117" s="91"/>
    </row>
    <row r="118" spans="4:4" x14ac:dyDescent="0.25">
      <c r="D118" s="91"/>
    </row>
    <row r="119" spans="4:4" x14ac:dyDescent="0.25">
      <c r="D119" s="91"/>
    </row>
    <row r="120" spans="4:4" x14ac:dyDescent="0.25">
      <c r="D120" s="91"/>
    </row>
    <row r="121" spans="4:4" x14ac:dyDescent="0.25">
      <c r="D121" s="91"/>
    </row>
    <row r="122" spans="4:4" x14ac:dyDescent="0.25">
      <c r="D122" s="91"/>
    </row>
    <row r="123" spans="4:4" x14ac:dyDescent="0.25">
      <c r="D123" s="91"/>
    </row>
    <row r="124" spans="4:4" x14ac:dyDescent="0.25">
      <c r="D124" s="91"/>
    </row>
    <row r="125" spans="4:4" x14ac:dyDescent="0.25">
      <c r="D125" s="91"/>
    </row>
    <row r="126" spans="4:4" x14ac:dyDescent="0.25">
      <c r="D126" s="91"/>
    </row>
    <row r="127" spans="4:4" x14ac:dyDescent="0.25">
      <c r="D127" s="91"/>
    </row>
    <row r="128" spans="4:4" x14ac:dyDescent="0.25">
      <c r="D128" s="91"/>
    </row>
    <row r="129" spans="4:4" x14ac:dyDescent="0.25">
      <c r="D129" s="91"/>
    </row>
    <row r="130" spans="4:4" x14ac:dyDescent="0.25">
      <c r="D130" s="91"/>
    </row>
    <row r="131" spans="4:4" x14ac:dyDescent="0.25">
      <c r="D131" s="91"/>
    </row>
    <row r="132" spans="4:4" x14ac:dyDescent="0.25">
      <c r="D132" s="91"/>
    </row>
    <row r="133" spans="4:4" x14ac:dyDescent="0.25">
      <c r="D133" s="91"/>
    </row>
    <row r="134" spans="4:4" x14ac:dyDescent="0.25">
      <c r="D134" s="91"/>
    </row>
    <row r="135" spans="4:4" x14ac:dyDescent="0.25">
      <c r="D135" s="91"/>
    </row>
    <row r="136" spans="4:4" x14ac:dyDescent="0.25">
      <c r="D136" s="91"/>
    </row>
    <row r="137" spans="4:4" x14ac:dyDescent="0.25">
      <c r="D137" s="91"/>
    </row>
    <row r="138" spans="4:4" x14ac:dyDescent="0.25">
      <c r="D138" s="91"/>
    </row>
    <row r="139" spans="4:4" x14ac:dyDescent="0.25">
      <c r="D139" s="91"/>
    </row>
    <row r="140" spans="4:4" x14ac:dyDescent="0.25">
      <c r="D140" s="91"/>
    </row>
    <row r="141" spans="4:4" x14ac:dyDescent="0.25">
      <c r="D141" s="91"/>
    </row>
    <row r="142" spans="4:4" x14ac:dyDescent="0.25">
      <c r="D142" s="91"/>
    </row>
    <row r="143" spans="4:4" x14ac:dyDescent="0.25">
      <c r="D143" s="91"/>
    </row>
    <row r="144" spans="4:4" x14ac:dyDescent="0.25">
      <c r="D144" s="91"/>
    </row>
    <row r="145" spans="4:4" x14ac:dyDescent="0.25">
      <c r="D145" s="91"/>
    </row>
    <row r="146" spans="4:4" x14ac:dyDescent="0.25">
      <c r="D146" s="91"/>
    </row>
    <row r="147" spans="4:4" x14ac:dyDescent="0.25">
      <c r="D147" s="91"/>
    </row>
    <row r="148" spans="4:4" x14ac:dyDescent="0.25">
      <c r="D148" s="91"/>
    </row>
    <row r="149" spans="4:4" x14ac:dyDescent="0.25">
      <c r="D149" s="91"/>
    </row>
    <row r="150" spans="4:4" x14ac:dyDescent="0.25">
      <c r="D150" s="91"/>
    </row>
    <row r="151" spans="4:4" x14ac:dyDescent="0.25">
      <c r="D151" s="91"/>
    </row>
    <row r="152" spans="4:4" x14ac:dyDescent="0.25">
      <c r="D152" s="91"/>
    </row>
    <row r="153" spans="4:4" x14ac:dyDescent="0.25">
      <c r="D153" s="91"/>
    </row>
    <row r="154" spans="4:4" x14ac:dyDescent="0.25">
      <c r="D154" s="91"/>
    </row>
    <row r="155" spans="4:4" x14ac:dyDescent="0.25">
      <c r="D155" s="91"/>
    </row>
    <row r="156" spans="4:4" x14ac:dyDescent="0.25">
      <c r="D156" s="91"/>
    </row>
    <row r="157" spans="4:4" x14ac:dyDescent="0.25">
      <c r="D157" s="91"/>
    </row>
    <row r="158" spans="4:4" x14ac:dyDescent="0.25">
      <c r="D158" s="91"/>
    </row>
    <row r="159" spans="4:4" x14ac:dyDescent="0.25">
      <c r="D159" s="91"/>
    </row>
    <row r="160" spans="4:4" x14ac:dyDescent="0.25">
      <c r="D160" s="91"/>
    </row>
    <row r="161" spans="4:4" x14ac:dyDescent="0.25">
      <c r="D161" s="91"/>
    </row>
    <row r="162" spans="4:4" x14ac:dyDescent="0.25">
      <c r="D162" s="91"/>
    </row>
    <row r="163" spans="4:4" x14ac:dyDescent="0.25">
      <c r="D163" s="91"/>
    </row>
    <row r="164" spans="4:4" x14ac:dyDescent="0.25">
      <c r="D164" s="91"/>
    </row>
    <row r="165" spans="4:4" x14ac:dyDescent="0.25">
      <c r="D165" s="91"/>
    </row>
    <row r="166" spans="4:4" x14ac:dyDescent="0.25">
      <c r="D166" s="91"/>
    </row>
    <row r="167" spans="4:4" x14ac:dyDescent="0.25">
      <c r="D167" s="91"/>
    </row>
    <row r="168" spans="4:4" x14ac:dyDescent="0.25">
      <c r="D168" s="91"/>
    </row>
    <row r="169" spans="4:4" x14ac:dyDescent="0.25">
      <c r="D169" s="91"/>
    </row>
    <row r="170" spans="4:4" x14ac:dyDescent="0.25">
      <c r="D170" s="91"/>
    </row>
    <row r="171" spans="4:4" x14ac:dyDescent="0.25">
      <c r="D171" s="91"/>
    </row>
    <row r="172" spans="4:4" x14ac:dyDescent="0.25">
      <c r="D172" s="91"/>
    </row>
    <row r="173" spans="4:4" x14ac:dyDescent="0.25">
      <c r="D173" s="91"/>
    </row>
    <row r="174" spans="4:4" x14ac:dyDescent="0.25">
      <c r="D174" s="91"/>
    </row>
    <row r="175" spans="4:4" x14ac:dyDescent="0.25">
      <c r="D175" s="91"/>
    </row>
    <row r="176" spans="4:4" x14ac:dyDescent="0.25">
      <c r="D176" s="91"/>
    </row>
    <row r="177" spans="4:4" x14ac:dyDescent="0.25">
      <c r="D177" s="91"/>
    </row>
    <row r="178" spans="4:4" x14ac:dyDescent="0.25">
      <c r="D178" s="91"/>
    </row>
    <row r="179" spans="4:4" x14ac:dyDescent="0.25">
      <c r="D179" s="91"/>
    </row>
    <row r="180" spans="4:4" x14ac:dyDescent="0.25">
      <c r="D180" s="91"/>
    </row>
    <row r="181" spans="4:4" x14ac:dyDescent="0.25">
      <c r="D181" s="91"/>
    </row>
    <row r="182" spans="4:4" x14ac:dyDescent="0.25">
      <c r="D182" s="91"/>
    </row>
    <row r="183" spans="4:4" x14ac:dyDescent="0.25">
      <c r="D183" s="91"/>
    </row>
    <row r="184" spans="4:4" x14ac:dyDescent="0.25">
      <c r="D184" s="91"/>
    </row>
    <row r="185" spans="4:4" x14ac:dyDescent="0.25">
      <c r="D185" s="91"/>
    </row>
    <row r="186" spans="4:4" x14ac:dyDescent="0.25">
      <c r="D186" s="91"/>
    </row>
    <row r="187" spans="4:4" x14ac:dyDescent="0.25">
      <c r="D187" s="91"/>
    </row>
    <row r="188" spans="4:4" x14ac:dyDescent="0.25">
      <c r="D188" s="91"/>
    </row>
    <row r="189" spans="4:4" x14ac:dyDescent="0.25">
      <c r="D189" s="91"/>
    </row>
    <row r="190" spans="4:4" x14ac:dyDescent="0.25">
      <c r="D190" s="91"/>
    </row>
    <row r="191" spans="4:4" x14ac:dyDescent="0.25">
      <c r="D191" s="91"/>
    </row>
    <row r="192" spans="4:4" x14ac:dyDescent="0.25">
      <c r="D192" s="91"/>
    </row>
    <row r="193" spans="4:4" x14ac:dyDescent="0.25">
      <c r="D193" s="91"/>
    </row>
    <row r="194" spans="4:4" x14ac:dyDescent="0.25">
      <c r="D194" s="91"/>
    </row>
    <row r="195" spans="4:4" x14ac:dyDescent="0.25">
      <c r="D195" s="91"/>
    </row>
    <row r="196" spans="4:4" x14ac:dyDescent="0.25">
      <c r="D196" s="91"/>
    </row>
    <row r="197" spans="4:4" x14ac:dyDescent="0.25">
      <c r="D197" s="91"/>
    </row>
    <row r="198" spans="4:4" x14ac:dyDescent="0.25">
      <c r="D198" s="91"/>
    </row>
    <row r="199" spans="4:4" x14ac:dyDescent="0.25">
      <c r="D199" s="91"/>
    </row>
    <row r="200" spans="4:4" x14ac:dyDescent="0.25">
      <c r="D200" s="91"/>
    </row>
    <row r="201" spans="4:4" x14ac:dyDescent="0.25">
      <c r="D201" s="91"/>
    </row>
    <row r="202" spans="4:4" x14ac:dyDescent="0.25">
      <c r="D202" s="91"/>
    </row>
    <row r="203" spans="4:4" x14ac:dyDescent="0.25">
      <c r="D203" s="91"/>
    </row>
    <row r="204" spans="4:4" x14ac:dyDescent="0.25">
      <c r="D204" s="91"/>
    </row>
    <row r="205" spans="4:4" x14ac:dyDescent="0.25">
      <c r="D205" s="91"/>
    </row>
    <row r="206" spans="4:4" x14ac:dyDescent="0.25">
      <c r="D206" s="91"/>
    </row>
    <row r="207" spans="4:4" x14ac:dyDescent="0.25">
      <c r="D207" s="91"/>
    </row>
    <row r="208" spans="4:4" x14ac:dyDescent="0.25">
      <c r="D208" s="91"/>
    </row>
    <row r="209" spans="4:4" x14ac:dyDescent="0.25">
      <c r="D209" s="91"/>
    </row>
    <row r="210" spans="4:4" x14ac:dyDescent="0.25">
      <c r="D210" s="91"/>
    </row>
    <row r="211" spans="4:4" x14ac:dyDescent="0.25">
      <c r="D211" s="91"/>
    </row>
    <row r="212" spans="4:4" x14ac:dyDescent="0.25">
      <c r="D212" s="91"/>
    </row>
    <row r="213" spans="4:4" x14ac:dyDescent="0.25">
      <c r="D213" s="91"/>
    </row>
    <row r="214" spans="4:4" x14ac:dyDescent="0.25">
      <c r="D214" s="91"/>
    </row>
    <row r="215" spans="4:4" x14ac:dyDescent="0.25">
      <c r="D215" s="91"/>
    </row>
    <row r="216" spans="4:4" x14ac:dyDescent="0.25">
      <c r="D216" s="91"/>
    </row>
    <row r="217" spans="4:4" x14ac:dyDescent="0.25">
      <c r="D217" s="91"/>
    </row>
    <row r="218" spans="4:4" x14ac:dyDescent="0.25">
      <c r="D218" s="91"/>
    </row>
    <row r="219" spans="4:4" x14ac:dyDescent="0.25">
      <c r="D219" s="91"/>
    </row>
    <row r="220" spans="4:4" x14ac:dyDescent="0.25">
      <c r="D220" s="91"/>
    </row>
    <row r="221" spans="4:4" x14ac:dyDescent="0.25">
      <c r="D221" s="91"/>
    </row>
    <row r="222" spans="4:4" x14ac:dyDescent="0.25">
      <c r="D222" s="91"/>
    </row>
    <row r="223" spans="4:4" x14ac:dyDescent="0.25">
      <c r="D223" s="91"/>
    </row>
    <row r="224" spans="4:4" x14ac:dyDescent="0.25">
      <c r="D224" s="91"/>
    </row>
    <row r="225" spans="4:4" x14ac:dyDescent="0.25">
      <c r="D225" s="91"/>
    </row>
    <row r="226" spans="4:4" x14ac:dyDescent="0.25">
      <c r="D226" s="91"/>
    </row>
    <row r="227" spans="4:4" x14ac:dyDescent="0.25">
      <c r="D227" s="91"/>
    </row>
    <row r="228" spans="4:4" x14ac:dyDescent="0.25">
      <c r="D228" s="91"/>
    </row>
    <row r="229" spans="4:4" x14ac:dyDescent="0.25">
      <c r="D229" s="91"/>
    </row>
    <row r="230" spans="4:4" x14ac:dyDescent="0.25">
      <c r="D230" s="91"/>
    </row>
    <row r="231" spans="4:4" x14ac:dyDescent="0.25">
      <c r="D231" s="91"/>
    </row>
    <row r="232" spans="4:4" x14ac:dyDescent="0.25">
      <c r="D232" s="91"/>
    </row>
    <row r="233" spans="4:4" x14ac:dyDescent="0.25">
      <c r="D233" s="91"/>
    </row>
    <row r="234" spans="4:4" x14ac:dyDescent="0.25">
      <c r="D234" s="91"/>
    </row>
    <row r="235" spans="4:4" x14ac:dyDescent="0.25">
      <c r="D235" s="91"/>
    </row>
    <row r="236" spans="4:4" x14ac:dyDescent="0.25">
      <c r="D236" s="91"/>
    </row>
    <row r="237" spans="4:4" x14ac:dyDescent="0.25">
      <c r="D237" s="91"/>
    </row>
    <row r="238" spans="4:4" x14ac:dyDescent="0.25">
      <c r="D238" s="91"/>
    </row>
    <row r="239" spans="4:4" x14ac:dyDescent="0.25">
      <c r="D239" s="91"/>
    </row>
    <row r="240" spans="4:4" x14ac:dyDescent="0.25">
      <c r="D240" s="91"/>
    </row>
    <row r="241" spans="4:4" x14ac:dyDescent="0.25">
      <c r="D241" s="91"/>
    </row>
    <row r="242" spans="4:4" x14ac:dyDescent="0.25">
      <c r="D242" s="91"/>
    </row>
    <row r="243" spans="4:4" x14ac:dyDescent="0.25">
      <c r="D243" s="91"/>
    </row>
    <row r="244" spans="4:4" x14ac:dyDescent="0.25">
      <c r="D244" s="91"/>
    </row>
    <row r="245" spans="4:4" x14ac:dyDescent="0.25">
      <c r="D245" s="91"/>
    </row>
    <row r="246" spans="4:4" x14ac:dyDescent="0.25">
      <c r="D246" s="91"/>
    </row>
    <row r="247" spans="4:4" x14ac:dyDescent="0.25">
      <c r="D247" s="91"/>
    </row>
    <row r="248" spans="4:4" x14ac:dyDescent="0.25">
      <c r="D248" s="91"/>
    </row>
    <row r="249" spans="4:4" x14ac:dyDescent="0.25">
      <c r="D249" s="91"/>
    </row>
    <row r="250" spans="4:4" x14ac:dyDescent="0.25">
      <c r="D250" s="91"/>
    </row>
    <row r="251" spans="4:4" x14ac:dyDescent="0.25">
      <c r="D251" s="91"/>
    </row>
    <row r="252" spans="4:4" x14ac:dyDescent="0.25">
      <c r="D252" s="91"/>
    </row>
    <row r="253" spans="4:4" x14ac:dyDescent="0.25">
      <c r="D253" s="91"/>
    </row>
    <row r="254" spans="4:4" x14ac:dyDescent="0.25">
      <c r="D254" s="91"/>
    </row>
    <row r="255" spans="4:4" x14ac:dyDescent="0.25">
      <c r="D255" s="91"/>
    </row>
    <row r="256" spans="4:4" x14ac:dyDescent="0.25">
      <c r="D256" s="91"/>
    </row>
    <row r="257" spans="4:4" x14ac:dyDescent="0.25">
      <c r="D257" s="91"/>
    </row>
    <row r="258" spans="4:4" x14ac:dyDescent="0.25">
      <c r="D258" s="91"/>
    </row>
    <row r="259" spans="4:4" x14ac:dyDescent="0.25">
      <c r="D259" s="91"/>
    </row>
    <row r="260" spans="4:4" x14ac:dyDescent="0.25">
      <c r="D260" s="91"/>
    </row>
    <row r="261" spans="4:4" x14ac:dyDescent="0.25">
      <c r="D261" s="91"/>
    </row>
    <row r="262" spans="4:4" x14ac:dyDescent="0.25">
      <c r="D262" s="91"/>
    </row>
    <row r="263" spans="4:4" x14ac:dyDescent="0.25">
      <c r="D263" s="91"/>
    </row>
    <row r="264" spans="4:4" x14ac:dyDescent="0.25">
      <c r="D264" s="91"/>
    </row>
    <row r="265" spans="4:4" x14ac:dyDescent="0.25">
      <c r="D265" s="91"/>
    </row>
    <row r="266" spans="4:4" x14ac:dyDescent="0.25">
      <c r="D266" s="91"/>
    </row>
    <row r="267" spans="4:4" x14ac:dyDescent="0.25">
      <c r="D267" s="91"/>
    </row>
    <row r="268" spans="4:4" x14ac:dyDescent="0.25">
      <c r="D268" s="91"/>
    </row>
    <row r="269" spans="4:4" x14ac:dyDescent="0.25">
      <c r="D269" s="91"/>
    </row>
    <row r="270" spans="4:4" x14ac:dyDescent="0.25">
      <c r="D270" s="91"/>
    </row>
    <row r="271" spans="4:4" x14ac:dyDescent="0.25">
      <c r="D271" s="91"/>
    </row>
    <row r="272" spans="4:4" x14ac:dyDescent="0.25">
      <c r="D272" s="91"/>
    </row>
    <row r="273" spans="4:4" x14ac:dyDescent="0.25">
      <c r="D273" s="91"/>
    </row>
    <row r="274" spans="4:4" x14ac:dyDescent="0.25">
      <c r="D274" s="91"/>
    </row>
    <row r="275" spans="4:4" x14ac:dyDescent="0.25">
      <c r="D275" s="91"/>
    </row>
    <row r="276" spans="4:4" x14ac:dyDescent="0.25">
      <c r="D276" s="91"/>
    </row>
    <row r="277" spans="4:4" x14ac:dyDescent="0.25">
      <c r="D277" s="91"/>
    </row>
    <row r="278" spans="4:4" x14ac:dyDescent="0.25">
      <c r="D278" s="91"/>
    </row>
    <row r="279" spans="4:4" x14ac:dyDescent="0.25">
      <c r="D279" s="91"/>
    </row>
    <row r="280" spans="4:4" x14ac:dyDescent="0.25">
      <c r="D280" s="91"/>
    </row>
    <row r="281" spans="4:4" x14ac:dyDescent="0.25">
      <c r="D281" s="91"/>
    </row>
    <row r="282" spans="4:4" x14ac:dyDescent="0.25">
      <c r="D282" s="91"/>
    </row>
    <row r="283" spans="4:4" x14ac:dyDescent="0.25">
      <c r="D283" s="91"/>
    </row>
    <row r="284" spans="4:4" x14ac:dyDescent="0.25">
      <c r="D284" s="91"/>
    </row>
    <row r="285" spans="4:4" x14ac:dyDescent="0.25">
      <c r="D285" s="91"/>
    </row>
    <row r="286" spans="4:4" x14ac:dyDescent="0.25">
      <c r="D286" s="91"/>
    </row>
    <row r="287" spans="4:4" x14ac:dyDescent="0.25">
      <c r="D287" s="91"/>
    </row>
    <row r="288" spans="4:4" x14ac:dyDescent="0.25">
      <c r="D288" s="91"/>
    </row>
    <row r="289" spans="4:4" x14ac:dyDescent="0.25">
      <c r="D289" s="91"/>
    </row>
    <row r="290" spans="4:4" x14ac:dyDescent="0.25">
      <c r="D290" s="91"/>
    </row>
    <row r="291" spans="4:4" x14ac:dyDescent="0.25">
      <c r="D291" s="91"/>
    </row>
    <row r="292" spans="4:4" x14ac:dyDescent="0.25">
      <c r="D292" s="91"/>
    </row>
    <row r="293" spans="4:4" x14ac:dyDescent="0.25">
      <c r="D293" s="91"/>
    </row>
    <row r="294" spans="4:4" x14ac:dyDescent="0.25">
      <c r="D294" s="91"/>
    </row>
    <row r="295" spans="4:4" x14ac:dyDescent="0.25">
      <c r="D295" s="91"/>
    </row>
    <row r="296" spans="4:4" x14ac:dyDescent="0.25">
      <c r="D296" s="91"/>
    </row>
    <row r="297" spans="4:4" x14ac:dyDescent="0.25">
      <c r="D297" s="91"/>
    </row>
    <row r="298" spans="4:4" x14ac:dyDescent="0.25">
      <c r="D298" s="91"/>
    </row>
    <row r="299" spans="4:4" x14ac:dyDescent="0.25">
      <c r="D299" s="91"/>
    </row>
    <row r="300" spans="4:4" x14ac:dyDescent="0.25">
      <c r="D300" s="91"/>
    </row>
    <row r="301" spans="4:4" x14ac:dyDescent="0.25">
      <c r="D301" s="91"/>
    </row>
    <row r="302" spans="4:4" x14ac:dyDescent="0.25">
      <c r="D302" s="91"/>
    </row>
    <row r="303" spans="4:4" x14ac:dyDescent="0.25">
      <c r="D303" s="91"/>
    </row>
    <row r="304" spans="4:4" x14ac:dyDescent="0.25">
      <c r="D304" s="91"/>
    </row>
    <row r="305" spans="4:4" x14ac:dyDescent="0.25">
      <c r="D305" s="91"/>
    </row>
    <row r="306" spans="4:4" x14ac:dyDescent="0.25">
      <c r="D306" s="91"/>
    </row>
    <row r="307" spans="4:4" x14ac:dyDescent="0.25">
      <c r="D307" s="91"/>
    </row>
    <row r="308" spans="4:4" x14ac:dyDescent="0.25">
      <c r="D308" s="91"/>
    </row>
    <row r="309" spans="4:4" x14ac:dyDescent="0.25">
      <c r="D309" s="91"/>
    </row>
    <row r="310" spans="4:4" x14ac:dyDescent="0.25">
      <c r="D310" s="91"/>
    </row>
    <row r="311" spans="4:4" x14ac:dyDescent="0.25">
      <c r="D311" s="91"/>
    </row>
    <row r="312" spans="4:4" x14ac:dyDescent="0.25">
      <c r="D312" s="91"/>
    </row>
    <row r="313" spans="4:4" x14ac:dyDescent="0.25">
      <c r="D313" s="91"/>
    </row>
    <row r="314" spans="4:4" x14ac:dyDescent="0.25">
      <c r="D314" s="91"/>
    </row>
    <row r="315" spans="4:4" x14ac:dyDescent="0.25">
      <c r="D315" s="91"/>
    </row>
    <row r="316" spans="4:4" x14ac:dyDescent="0.25">
      <c r="D316" s="91"/>
    </row>
    <row r="317" spans="4:4" x14ac:dyDescent="0.25">
      <c r="D317" s="91"/>
    </row>
    <row r="318" spans="4:4" x14ac:dyDescent="0.25">
      <c r="D318" s="91"/>
    </row>
    <row r="319" spans="4:4" x14ac:dyDescent="0.25">
      <c r="D319" s="91"/>
    </row>
    <row r="320" spans="4:4" x14ac:dyDescent="0.25">
      <c r="D320" s="91"/>
    </row>
    <row r="321" spans="4:4" x14ac:dyDescent="0.25">
      <c r="D321" s="91"/>
    </row>
    <row r="322" spans="4:4" x14ac:dyDescent="0.25">
      <c r="D322" s="91"/>
    </row>
    <row r="323" spans="4:4" x14ac:dyDescent="0.25">
      <c r="D323" s="91"/>
    </row>
    <row r="324" spans="4:4" x14ac:dyDescent="0.25">
      <c r="D324" s="91"/>
    </row>
    <row r="325" spans="4:4" x14ac:dyDescent="0.25">
      <c r="D325" s="91"/>
    </row>
    <row r="326" spans="4:4" x14ac:dyDescent="0.25">
      <c r="D326" s="91"/>
    </row>
    <row r="327" spans="4:4" x14ac:dyDescent="0.25">
      <c r="D327" s="91"/>
    </row>
    <row r="328" spans="4:4" x14ac:dyDescent="0.25">
      <c r="D328" s="91"/>
    </row>
    <row r="329" spans="4:4" x14ac:dyDescent="0.25">
      <c r="D329" s="91"/>
    </row>
    <row r="330" spans="4:4" x14ac:dyDescent="0.25">
      <c r="D330" s="91"/>
    </row>
    <row r="331" spans="4:4" x14ac:dyDescent="0.25">
      <c r="D331" s="91"/>
    </row>
    <row r="332" spans="4:4" x14ac:dyDescent="0.25">
      <c r="D332" s="91"/>
    </row>
    <row r="333" spans="4:4" x14ac:dyDescent="0.25">
      <c r="D333" s="91"/>
    </row>
    <row r="334" spans="4:4" x14ac:dyDescent="0.25">
      <c r="D334" s="91"/>
    </row>
    <row r="335" spans="4:4" x14ac:dyDescent="0.25">
      <c r="D335" s="91"/>
    </row>
    <row r="336" spans="4:4" x14ac:dyDescent="0.25">
      <c r="D336" s="91"/>
    </row>
    <row r="337" spans="4:4" x14ac:dyDescent="0.25">
      <c r="D337" s="91"/>
    </row>
    <row r="338" spans="4:4" x14ac:dyDescent="0.25">
      <c r="D338" s="91"/>
    </row>
    <row r="339" spans="4:4" x14ac:dyDescent="0.25">
      <c r="D339" s="91"/>
    </row>
    <row r="340" spans="4:4" x14ac:dyDescent="0.25">
      <c r="D340" s="91"/>
    </row>
    <row r="341" spans="4:4" x14ac:dyDescent="0.25">
      <c r="D341" s="91"/>
    </row>
    <row r="342" spans="4:4" x14ac:dyDescent="0.25">
      <c r="D342" s="91"/>
    </row>
    <row r="343" spans="4:4" x14ac:dyDescent="0.25">
      <c r="D343" s="91"/>
    </row>
    <row r="344" spans="4:4" x14ac:dyDescent="0.25">
      <c r="D344" s="91"/>
    </row>
    <row r="345" spans="4:4" x14ac:dyDescent="0.25">
      <c r="D345" s="91"/>
    </row>
    <row r="346" spans="4:4" x14ac:dyDescent="0.25">
      <c r="D346" s="91"/>
    </row>
    <row r="347" spans="4:4" x14ac:dyDescent="0.25">
      <c r="D347" s="91"/>
    </row>
    <row r="348" spans="4:4" x14ac:dyDescent="0.25">
      <c r="D348" s="91"/>
    </row>
    <row r="349" spans="4:4" x14ac:dyDescent="0.25">
      <c r="D349" s="91"/>
    </row>
    <row r="350" spans="4:4" x14ac:dyDescent="0.25">
      <c r="D350" s="91"/>
    </row>
    <row r="351" spans="4:4" x14ac:dyDescent="0.25">
      <c r="D351" s="91"/>
    </row>
    <row r="352" spans="4:4" x14ac:dyDescent="0.25">
      <c r="D352" s="91"/>
    </row>
    <row r="353" spans="4:4" x14ac:dyDescent="0.25">
      <c r="D353" s="91"/>
    </row>
    <row r="354" spans="4:4" x14ac:dyDescent="0.25">
      <c r="D354" s="91"/>
    </row>
    <row r="355" spans="4:4" x14ac:dyDescent="0.25">
      <c r="D355" s="91"/>
    </row>
    <row r="356" spans="4:4" x14ac:dyDescent="0.25">
      <c r="D356" s="91"/>
    </row>
    <row r="357" spans="4:4" x14ac:dyDescent="0.25">
      <c r="D357" s="91"/>
    </row>
    <row r="358" spans="4:4" x14ac:dyDescent="0.25">
      <c r="D358" s="91"/>
    </row>
    <row r="359" spans="4:4" x14ac:dyDescent="0.25">
      <c r="D359" s="91"/>
    </row>
    <row r="360" spans="4:4" x14ac:dyDescent="0.25">
      <c r="D360" s="91"/>
    </row>
    <row r="361" spans="4:4" x14ac:dyDescent="0.25">
      <c r="D361" s="91"/>
    </row>
    <row r="362" spans="4:4" x14ac:dyDescent="0.25">
      <c r="D362" s="91"/>
    </row>
    <row r="363" spans="4:4" x14ac:dyDescent="0.25">
      <c r="D363" s="91"/>
    </row>
    <row r="364" spans="4:4" x14ac:dyDescent="0.25">
      <c r="D364" s="91"/>
    </row>
    <row r="365" spans="4:4" x14ac:dyDescent="0.25">
      <c r="D365" s="91"/>
    </row>
    <row r="366" spans="4:4" x14ac:dyDescent="0.25">
      <c r="D366" s="91"/>
    </row>
    <row r="367" spans="4:4" x14ac:dyDescent="0.25">
      <c r="D367" s="91"/>
    </row>
    <row r="368" spans="4:4" x14ac:dyDescent="0.25">
      <c r="D368" s="91"/>
    </row>
    <row r="369" spans="4:4" x14ac:dyDescent="0.25">
      <c r="D369" s="91"/>
    </row>
    <row r="370" spans="4:4" x14ac:dyDescent="0.25">
      <c r="D370" s="91"/>
    </row>
    <row r="371" spans="4:4" x14ac:dyDescent="0.25">
      <c r="D371" s="91"/>
    </row>
    <row r="372" spans="4:4" x14ac:dyDescent="0.25">
      <c r="D372" s="91"/>
    </row>
    <row r="373" spans="4:4" x14ac:dyDescent="0.25">
      <c r="D373" s="91"/>
    </row>
    <row r="374" spans="4:4" x14ac:dyDescent="0.25">
      <c r="D374" s="91"/>
    </row>
    <row r="375" spans="4:4" x14ac:dyDescent="0.25">
      <c r="D375" s="91"/>
    </row>
    <row r="376" spans="4:4" x14ac:dyDescent="0.25">
      <c r="D376" s="91"/>
    </row>
    <row r="377" spans="4:4" x14ac:dyDescent="0.25">
      <c r="D377" s="91"/>
    </row>
    <row r="378" spans="4:4" x14ac:dyDescent="0.25">
      <c r="D378" s="91"/>
    </row>
    <row r="379" spans="4:4" x14ac:dyDescent="0.25">
      <c r="D379" s="91"/>
    </row>
    <row r="380" spans="4:4" x14ac:dyDescent="0.25">
      <c r="D380" s="91"/>
    </row>
    <row r="381" spans="4:4" x14ac:dyDescent="0.25">
      <c r="D381" s="91"/>
    </row>
    <row r="382" spans="4:4" x14ac:dyDescent="0.25">
      <c r="D382" s="91"/>
    </row>
    <row r="383" spans="4:4" x14ac:dyDescent="0.25">
      <c r="D383" s="91"/>
    </row>
    <row r="384" spans="4:4" x14ac:dyDescent="0.25">
      <c r="D384" s="91"/>
    </row>
    <row r="385" spans="4:4" x14ac:dyDescent="0.25">
      <c r="D385" s="91"/>
    </row>
    <row r="386" spans="4:4" x14ac:dyDescent="0.25">
      <c r="D386" s="91"/>
    </row>
    <row r="387" spans="4:4" x14ac:dyDescent="0.25">
      <c r="D387" s="91"/>
    </row>
    <row r="388" spans="4:4" x14ac:dyDescent="0.25">
      <c r="D388" s="91"/>
    </row>
    <row r="389" spans="4:4" x14ac:dyDescent="0.25">
      <c r="D389" s="91"/>
    </row>
    <row r="390" spans="4:4" x14ac:dyDescent="0.25">
      <c r="D390" s="91"/>
    </row>
    <row r="391" spans="4:4" x14ac:dyDescent="0.25">
      <c r="D391" s="91"/>
    </row>
    <row r="392" spans="4:4" x14ac:dyDescent="0.25">
      <c r="D392" s="91"/>
    </row>
    <row r="393" spans="4:4" x14ac:dyDescent="0.25">
      <c r="D393" s="91"/>
    </row>
    <row r="394" spans="4:4" x14ac:dyDescent="0.25">
      <c r="D394" s="91"/>
    </row>
    <row r="395" spans="4:4" x14ac:dyDescent="0.25">
      <c r="D395" s="91"/>
    </row>
    <row r="396" spans="4:4" x14ac:dyDescent="0.25">
      <c r="D396" s="91"/>
    </row>
    <row r="397" spans="4:4" x14ac:dyDescent="0.25">
      <c r="D397" s="91"/>
    </row>
    <row r="398" spans="4:4" x14ac:dyDescent="0.25">
      <c r="D398" s="91"/>
    </row>
    <row r="399" spans="4:4" x14ac:dyDescent="0.25">
      <c r="D399" s="91"/>
    </row>
    <row r="400" spans="4:4" x14ac:dyDescent="0.25">
      <c r="D400" s="91"/>
    </row>
    <row r="401" spans="4:4" x14ac:dyDescent="0.25">
      <c r="D401" s="91"/>
    </row>
    <row r="402" spans="4:4" x14ac:dyDescent="0.25">
      <c r="D402" s="91"/>
    </row>
    <row r="403" spans="4:4" x14ac:dyDescent="0.25">
      <c r="D403" s="91"/>
    </row>
    <row r="404" spans="4:4" x14ac:dyDescent="0.25">
      <c r="D404" s="91"/>
    </row>
    <row r="405" spans="4:4" x14ac:dyDescent="0.25">
      <c r="D405" s="91"/>
    </row>
    <row r="406" spans="4:4" x14ac:dyDescent="0.25">
      <c r="D406" s="91"/>
    </row>
    <row r="407" spans="4:4" x14ac:dyDescent="0.25">
      <c r="D407" s="91"/>
    </row>
    <row r="408" spans="4:4" x14ac:dyDescent="0.25">
      <c r="D408" s="91"/>
    </row>
    <row r="409" spans="4:4" x14ac:dyDescent="0.25">
      <c r="D409" s="91"/>
    </row>
    <row r="410" spans="4:4" x14ac:dyDescent="0.25">
      <c r="D410" s="91"/>
    </row>
    <row r="411" spans="4:4" x14ac:dyDescent="0.25">
      <c r="D411" s="91"/>
    </row>
    <row r="412" spans="4:4" x14ac:dyDescent="0.25">
      <c r="D412" s="91"/>
    </row>
    <row r="413" spans="4:4" x14ac:dyDescent="0.25">
      <c r="D413" s="91"/>
    </row>
    <row r="414" spans="4:4" x14ac:dyDescent="0.25">
      <c r="D414" s="91"/>
    </row>
    <row r="415" spans="4:4" x14ac:dyDescent="0.25">
      <c r="D415" s="91"/>
    </row>
    <row r="416" spans="4:4" x14ac:dyDescent="0.25">
      <c r="D416" s="91"/>
    </row>
    <row r="417" spans="4:4" x14ac:dyDescent="0.25">
      <c r="D417" s="91"/>
    </row>
    <row r="418" spans="4:4" x14ac:dyDescent="0.25">
      <c r="D418" s="91"/>
    </row>
    <row r="419" spans="4:4" x14ac:dyDescent="0.25">
      <c r="D419" s="91"/>
    </row>
    <row r="420" spans="4:4" x14ac:dyDescent="0.25">
      <c r="D420" s="91"/>
    </row>
    <row r="421" spans="4:4" x14ac:dyDescent="0.25">
      <c r="D421" s="91"/>
    </row>
    <row r="422" spans="4:4" x14ac:dyDescent="0.25">
      <c r="D422" s="91"/>
    </row>
    <row r="423" spans="4:4" x14ac:dyDescent="0.25">
      <c r="D423" s="91"/>
    </row>
    <row r="424" spans="4:4" x14ac:dyDescent="0.25">
      <c r="D424" s="91"/>
    </row>
    <row r="425" spans="4:4" x14ac:dyDescent="0.25">
      <c r="D425" s="91"/>
    </row>
    <row r="426" spans="4:4" x14ac:dyDescent="0.25">
      <c r="D426" s="91"/>
    </row>
    <row r="427" spans="4:4" x14ac:dyDescent="0.25">
      <c r="D427" s="91"/>
    </row>
    <row r="428" spans="4:4" x14ac:dyDescent="0.25">
      <c r="D428" s="91"/>
    </row>
    <row r="429" spans="4:4" x14ac:dyDescent="0.25">
      <c r="D429" s="91"/>
    </row>
    <row r="430" spans="4:4" x14ac:dyDescent="0.25">
      <c r="D430" s="91"/>
    </row>
    <row r="431" spans="4:4" x14ac:dyDescent="0.25">
      <c r="D431" s="91"/>
    </row>
    <row r="432" spans="4:4" x14ac:dyDescent="0.25">
      <c r="D432" s="91"/>
    </row>
    <row r="433" spans="4:4" x14ac:dyDescent="0.25">
      <c r="D433" s="91"/>
    </row>
    <row r="434" spans="4:4" x14ac:dyDescent="0.25">
      <c r="D434" s="91"/>
    </row>
    <row r="435" spans="4:4" x14ac:dyDescent="0.25">
      <c r="D435" s="91"/>
    </row>
    <row r="436" spans="4:4" x14ac:dyDescent="0.25">
      <c r="D436" s="91"/>
    </row>
    <row r="437" spans="4:4" x14ac:dyDescent="0.25">
      <c r="D437" s="91"/>
    </row>
    <row r="438" spans="4:4" x14ac:dyDescent="0.25">
      <c r="D438" s="91"/>
    </row>
    <row r="439" spans="4:4" x14ac:dyDescent="0.25">
      <c r="D439" s="91"/>
    </row>
    <row r="440" spans="4:4" x14ac:dyDescent="0.25">
      <c r="D440" s="91"/>
    </row>
    <row r="441" spans="4:4" x14ac:dyDescent="0.25">
      <c r="D441" s="91"/>
    </row>
    <row r="442" spans="4:4" x14ac:dyDescent="0.25">
      <c r="D442" s="91"/>
    </row>
    <row r="443" spans="4:4" x14ac:dyDescent="0.25">
      <c r="D443" s="91"/>
    </row>
    <row r="444" spans="4:4" x14ac:dyDescent="0.25">
      <c r="D444" s="91"/>
    </row>
    <row r="445" spans="4:4" x14ac:dyDescent="0.25">
      <c r="D445" s="91"/>
    </row>
    <row r="446" spans="4:4" x14ac:dyDescent="0.25">
      <c r="D446" s="91"/>
    </row>
    <row r="447" spans="4:4" x14ac:dyDescent="0.25">
      <c r="D447" s="91"/>
    </row>
    <row r="448" spans="4:4" x14ac:dyDescent="0.25">
      <c r="D448" s="91"/>
    </row>
    <row r="449" spans="4:4" x14ac:dyDescent="0.25">
      <c r="D449" s="91"/>
    </row>
    <row r="450" spans="4:4" x14ac:dyDescent="0.25">
      <c r="D450" s="91"/>
    </row>
    <row r="451" spans="4:4" x14ac:dyDescent="0.25">
      <c r="D451" s="91"/>
    </row>
    <row r="452" spans="4:4" x14ac:dyDescent="0.25">
      <c r="D452" s="91"/>
    </row>
    <row r="453" spans="4:4" x14ac:dyDescent="0.25">
      <c r="D453" s="91"/>
    </row>
    <row r="454" spans="4:4" x14ac:dyDescent="0.25">
      <c r="D454" s="91"/>
    </row>
    <row r="455" spans="4:4" x14ac:dyDescent="0.25">
      <c r="D455" s="91"/>
    </row>
    <row r="456" spans="4:4" x14ac:dyDescent="0.25">
      <c r="D456" s="91"/>
    </row>
    <row r="457" spans="4:4" x14ac:dyDescent="0.25">
      <c r="D457" s="91"/>
    </row>
    <row r="458" spans="4:4" x14ac:dyDescent="0.25">
      <c r="D458" s="91"/>
    </row>
    <row r="459" spans="4:4" x14ac:dyDescent="0.25">
      <c r="D459" s="91"/>
    </row>
    <row r="460" spans="4:4" x14ac:dyDescent="0.25">
      <c r="D460" s="91"/>
    </row>
    <row r="461" spans="4:4" x14ac:dyDescent="0.25">
      <c r="D461" s="91"/>
    </row>
    <row r="462" spans="4:4" x14ac:dyDescent="0.25">
      <c r="D462" s="91"/>
    </row>
    <row r="463" spans="4:4" x14ac:dyDescent="0.25">
      <c r="D463" s="91"/>
    </row>
    <row r="464" spans="4:4" x14ac:dyDescent="0.25">
      <c r="D464" s="91"/>
    </row>
    <row r="465" spans="4:4" x14ac:dyDescent="0.25">
      <c r="D465" s="91"/>
    </row>
    <row r="466" spans="4:4" x14ac:dyDescent="0.25">
      <c r="D466" s="91"/>
    </row>
    <row r="467" spans="4:4" x14ac:dyDescent="0.25">
      <c r="D467" s="91"/>
    </row>
    <row r="468" spans="4:4" x14ac:dyDescent="0.25">
      <c r="D468" s="91"/>
    </row>
    <row r="469" spans="4:4" x14ac:dyDescent="0.25">
      <c r="D469" s="91"/>
    </row>
    <row r="470" spans="4:4" x14ac:dyDescent="0.25">
      <c r="D470" s="91"/>
    </row>
    <row r="471" spans="4:4" x14ac:dyDescent="0.25">
      <c r="D471" s="91"/>
    </row>
    <row r="472" spans="4:4" x14ac:dyDescent="0.25">
      <c r="D472" s="91"/>
    </row>
    <row r="473" spans="4:4" x14ac:dyDescent="0.25">
      <c r="D473" s="91"/>
    </row>
    <row r="474" spans="4:4" x14ac:dyDescent="0.25">
      <c r="D474" s="91"/>
    </row>
    <row r="475" spans="4:4" x14ac:dyDescent="0.25">
      <c r="D475" s="91"/>
    </row>
    <row r="476" spans="4:4" x14ac:dyDescent="0.25">
      <c r="D476" s="91"/>
    </row>
    <row r="477" spans="4:4" x14ac:dyDescent="0.25">
      <c r="D477" s="91"/>
    </row>
    <row r="478" spans="4:4" x14ac:dyDescent="0.25">
      <c r="D478" s="91"/>
    </row>
    <row r="479" spans="4:4" x14ac:dyDescent="0.25">
      <c r="D479" s="91"/>
    </row>
    <row r="480" spans="4:4" x14ac:dyDescent="0.25">
      <c r="D480" s="91"/>
    </row>
    <row r="481" spans="4:4" x14ac:dyDescent="0.25">
      <c r="D481" s="91"/>
    </row>
    <row r="482" spans="4:4" x14ac:dyDescent="0.25">
      <c r="D482" s="91"/>
    </row>
    <row r="483" spans="4:4" x14ac:dyDescent="0.25">
      <c r="D483" s="91"/>
    </row>
    <row r="484" spans="4:4" x14ac:dyDescent="0.25">
      <c r="D484" s="91"/>
    </row>
    <row r="485" spans="4:4" x14ac:dyDescent="0.25">
      <c r="D485" s="91"/>
    </row>
    <row r="486" spans="4:4" x14ac:dyDescent="0.25">
      <c r="D486" s="91"/>
    </row>
    <row r="487" spans="4:4" x14ac:dyDescent="0.25">
      <c r="D487" s="91"/>
    </row>
    <row r="488" spans="4:4" x14ac:dyDescent="0.25">
      <c r="D488" s="91"/>
    </row>
    <row r="489" spans="4:4" x14ac:dyDescent="0.25">
      <c r="D489" s="91"/>
    </row>
    <row r="490" spans="4:4" x14ac:dyDescent="0.25">
      <c r="D490" s="91"/>
    </row>
    <row r="491" spans="4:4" x14ac:dyDescent="0.25">
      <c r="D491" s="91"/>
    </row>
    <row r="492" spans="4:4" x14ac:dyDescent="0.25">
      <c r="D492" s="91"/>
    </row>
    <row r="493" spans="4:4" x14ac:dyDescent="0.25">
      <c r="D493" s="91"/>
    </row>
    <row r="494" spans="4:4" x14ac:dyDescent="0.25">
      <c r="D494" s="91"/>
    </row>
    <row r="495" spans="4:4" x14ac:dyDescent="0.25">
      <c r="D495" s="91"/>
    </row>
    <row r="496" spans="4:4" x14ac:dyDescent="0.25">
      <c r="D496" s="91"/>
    </row>
    <row r="497" spans="4:4" x14ac:dyDescent="0.25">
      <c r="D497" s="91"/>
    </row>
    <row r="498" spans="4:4" x14ac:dyDescent="0.25">
      <c r="D498" s="91"/>
    </row>
    <row r="499" spans="4:4" x14ac:dyDescent="0.25">
      <c r="D499" s="91"/>
    </row>
    <row r="500" spans="4:4" x14ac:dyDescent="0.25">
      <c r="D500" s="91"/>
    </row>
    <row r="501" spans="4:4" x14ac:dyDescent="0.25">
      <c r="D501" s="91"/>
    </row>
    <row r="502" spans="4:4" x14ac:dyDescent="0.25">
      <c r="D502" s="91"/>
    </row>
    <row r="503" spans="4:4" x14ac:dyDescent="0.25">
      <c r="D503" s="91"/>
    </row>
    <row r="504" spans="4:4" x14ac:dyDescent="0.25">
      <c r="D504" s="91"/>
    </row>
    <row r="505" spans="4:4" x14ac:dyDescent="0.25">
      <c r="D505" s="91"/>
    </row>
    <row r="506" spans="4:4" x14ac:dyDescent="0.25">
      <c r="D506" s="91"/>
    </row>
    <row r="507" spans="4:4" x14ac:dyDescent="0.25">
      <c r="D507" s="91"/>
    </row>
    <row r="508" spans="4:4" x14ac:dyDescent="0.25">
      <c r="D508" s="91"/>
    </row>
    <row r="509" spans="4:4" x14ac:dyDescent="0.25">
      <c r="D509" s="91"/>
    </row>
    <row r="510" spans="4:4" x14ac:dyDescent="0.25">
      <c r="D510" s="91"/>
    </row>
    <row r="511" spans="4:4" x14ac:dyDescent="0.25">
      <c r="D511" s="91"/>
    </row>
    <row r="512" spans="4:4" x14ac:dyDescent="0.25">
      <c r="D512" s="91"/>
    </row>
    <row r="513" spans="4:4" x14ac:dyDescent="0.25">
      <c r="D513" s="91"/>
    </row>
    <row r="514" spans="4:4" x14ac:dyDescent="0.25">
      <c r="D514" s="91"/>
    </row>
    <row r="515" spans="4:4" x14ac:dyDescent="0.25">
      <c r="D515" s="91"/>
    </row>
    <row r="516" spans="4:4" x14ac:dyDescent="0.25">
      <c r="D516" s="91"/>
    </row>
    <row r="517" spans="4:4" x14ac:dyDescent="0.25">
      <c r="D517" s="91"/>
    </row>
    <row r="518" spans="4:4" x14ac:dyDescent="0.25">
      <c r="D518" s="91"/>
    </row>
    <row r="519" spans="4:4" x14ac:dyDescent="0.25">
      <c r="D519" s="91"/>
    </row>
    <row r="520" spans="4:4" x14ac:dyDescent="0.25">
      <c r="D520" s="91"/>
    </row>
    <row r="521" spans="4:4" x14ac:dyDescent="0.25">
      <c r="D521" s="91"/>
    </row>
    <row r="522" spans="4:4" x14ac:dyDescent="0.25">
      <c r="D522" s="91"/>
    </row>
    <row r="523" spans="4:4" x14ac:dyDescent="0.25">
      <c r="D523" s="91"/>
    </row>
    <row r="524" spans="4:4" x14ac:dyDescent="0.25">
      <c r="D524" s="91"/>
    </row>
    <row r="525" spans="4:4" x14ac:dyDescent="0.25">
      <c r="D525" s="91"/>
    </row>
    <row r="526" spans="4:4" x14ac:dyDescent="0.25">
      <c r="D526" s="91"/>
    </row>
    <row r="527" spans="4:4" x14ac:dyDescent="0.25">
      <c r="D527" s="91"/>
    </row>
    <row r="528" spans="4:4" x14ac:dyDescent="0.25">
      <c r="D528" s="91"/>
    </row>
    <row r="529" spans="4:4" x14ac:dyDescent="0.25">
      <c r="D529" s="91"/>
    </row>
    <row r="530" spans="4:4" x14ac:dyDescent="0.25">
      <c r="D530" s="91"/>
    </row>
    <row r="531" spans="4:4" x14ac:dyDescent="0.25">
      <c r="D531" s="91"/>
    </row>
    <row r="532" spans="4:4" x14ac:dyDescent="0.25">
      <c r="D532" s="91"/>
    </row>
    <row r="533" spans="4:4" x14ac:dyDescent="0.25">
      <c r="D533" s="91"/>
    </row>
    <row r="534" spans="4:4" x14ac:dyDescent="0.25">
      <c r="D534" s="91"/>
    </row>
    <row r="535" spans="4:4" x14ac:dyDescent="0.25">
      <c r="D535" s="91"/>
    </row>
    <row r="536" spans="4:4" x14ac:dyDescent="0.25">
      <c r="D536" s="91"/>
    </row>
    <row r="537" spans="4:4" x14ac:dyDescent="0.25">
      <c r="D537" s="91"/>
    </row>
    <row r="538" spans="4:4" x14ac:dyDescent="0.25">
      <c r="D538" s="91"/>
    </row>
    <row r="539" spans="4:4" x14ac:dyDescent="0.25">
      <c r="D539" s="91"/>
    </row>
    <row r="540" spans="4:4" x14ac:dyDescent="0.25">
      <c r="D540" s="91"/>
    </row>
    <row r="541" spans="4:4" x14ac:dyDescent="0.25">
      <c r="D541" s="91"/>
    </row>
    <row r="542" spans="4:4" x14ac:dyDescent="0.25">
      <c r="D542" s="91"/>
    </row>
    <row r="543" spans="4:4" x14ac:dyDescent="0.25">
      <c r="D543" s="91"/>
    </row>
    <row r="544" spans="4:4" x14ac:dyDescent="0.25">
      <c r="D544" s="91"/>
    </row>
    <row r="545" spans="4:4" x14ac:dyDescent="0.25">
      <c r="D545" s="91"/>
    </row>
    <row r="546" spans="4:4" x14ac:dyDescent="0.25">
      <c r="D546" s="91"/>
    </row>
    <row r="547" spans="4:4" x14ac:dyDescent="0.25">
      <c r="D547" s="91"/>
    </row>
    <row r="548" spans="4:4" x14ac:dyDescent="0.25">
      <c r="D548" s="91"/>
    </row>
    <row r="549" spans="4:4" x14ac:dyDescent="0.25">
      <c r="D549" s="91"/>
    </row>
    <row r="550" spans="4:4" x14ac:dyDescent="0.25">
      <c r="D550" s="91"/>
    </row>
    <row r="551" spans="4:4" x14ac:dyDescent="0.25">
      <c r="D551" s="91"/>
    </row>
    <row r="552" spans="4:4" x14ac:dyDescent="0.25">
      <c r="D552" s="91"/>
    </row>
    <row r="553" spans="4:4" x14ac:dyDescent="0.25">
      <c r="D553" s="91"/>
    </row>
    <row r="554" spans="4:4" x14ac:dyDescent="0.25">
      <c r="D554" s="91"/>
    </row>
    <row r="555" spans="4:4" x14ac:dyDescent="0.25">
      <c r="D555" s="91"/>
    </row>
    <row r="556" spans="4:4" x14ac:dyDescent="0.25">
      <c r="D556" s="91"/>
    </row>
    <row r="557" spans="4:4" x14ac:dyDescent="0.25">
      <c r="D557" s="91"/>
    </row>
    <row r="558" spans="4:4" x14ac:dyDescent="0.25">
      <c r="D558" s="91"/>
    </row>
    <row r="559" spans="4:4" x14ac:dyDescent="0.25">
      <c r="D559" s="91"/>
    </row>
    <row r="560" spans="4:4" x14ac:dyDescent="0.25">
      <c r="D560" s="91"/>
    </row>
    <row r="561" spans="4:4" x14ac:dyDescent="0.25">
      <c r="D561" s="91"/>
    </row>
    <row r="562" spans="4:4" x14ac:dyDescent="0.25">
      <c r="D562" s="91"/>
    </row>
    <row r="563" spans="4:4" x14ac:dyDescent="0.25">
      <c r="D563" s="91"/>
    </row>
    <row r="564" spans="4:4" x14ac:dyDescent="0.25">
      <c r="D564" s="91"/>
    </row>
    <row r="565" spans="4:4" x14ac:dyDescent="0.25">
      <c r="D565" s="91"/>
    </row>
    <row r="566" spans="4:4" x14ac:dyDescent="0.25">
      <c r="D566" s="91"/>
    </row>
    <row r="567" spans="4:4" x14ac:dyDescent="0.25">
      <c r="D567" s="91"/>
    </row>
    <row r="568" spans="4:4" x14ac:dyDescent="0.25">
      <c r="D568" s="91"/>
    </row>
    <row r="569" spans="4:4" x14ac:dyDescent="0.25">
      <c r="D569" s="91"/>
    </row>
    <row r="570" spans="4:4" x14ac:dyDescent="0.25">
      <c r="D570" s="91"/>
    </row>
    <row r="571" spans="4:4" x14ac:dyDescent="0.25">
      <c r="D571" s="91"/>
    </row>
    <row r="572" spans="4:4" x14ac:dyDescent="0.25">
      <c r="D572" s="91"/>
    </row>
    <row r="573" spans="4:4" x14ac:dyDescent="0.25">
      <c r="D573" s="91"/>
    </row>
    <row r="574" spans="4:4" x14ac:dyDescent="0.25">
      <c r="D574" s="91"/>
    </row>
    <row r="575" spans="4:4" x14ac:dyDescent="0.25">
      <c r="D575" s="91"/>
    </row>
    <row r="576" spans="4:4" x14ac:dyDescent="0.25">
      <c r="D576" s="91"/>
    </row>
    <row r="577" spans="4:4" x14ac:dyDescent="0.25">
      <c r="D577" s="91"/>
    </row>
    <row r="578" spans="4:4" x14ac:dyDescent="0.25">
      <c r="D578" s="91"/>
    </row>
    <row r="579" spans="4:4" x14ac:dyDescent="0.25">
      <c r="D579" s="91"/>
    </row>
    <row r="580" spans="4:4" x14ac:dyDescent="0.25">
      <c r="D580" s="91"/>
    </row>
    <row r="581" spans="4:4" x14ac:dyDescent="0.25">
      <c r="D581" s="91"/>
    </row>
    <row r="582" spans="4:4" x14ac:dyDescent="0.25">
      <c r="D582" s="91"/>
    </row>
    <row r="583" spans="4:4" x14ac:dyDescent="0.25">
      <c r="D583" s="91"/>
    </row>
    <row r="584" spans="4:4" x14ac:dyDescent="0.25">
      <c r="D584" s="91"/>
    </row>
    <row r="585" spans="4:4" x14ac:dyDescent="0.25">
      <c r="D585" s="91"/>
    </row>
    <row r="586" spans="4:4" x14ac:dyDescent="0.25">
      <c r="D586" s="91"/>
    </row>
    <row r="587" spans="4:4" x14ac:dyDescent="0.25">
      <c r="D587" s="91"/>
    </row>
    <row r="588" spans="4:4" x14ac:dyDescent="0.25">
      <c r="D588" s="91"/>
    </row>
    <row r="589" spans="4:4" x14ac:dyDescent="0.25">
      <c r="D589" s="91"/>
    </row>
    <row r="590" spans="4:4" x14ac:dyDescent="0.25">
      <c r="D590" s="91"/>
    </row>
    <row r="591" spans="4:4" x14ac:dyDescent="0.25">
      <c r="D591" s="91"/>
    </row>
    <row r="592" spans="4:4" x14ac:dyDescent="0.25">
      <c r="D592" s="91"/>
    </row>
    <row r="593" spans="4:4" x14ac:dyDescent="0.25">
      <c r="D593" s="91"/>
    </row>
    <row r="594" spans="4:4" x14ac:dyDescent="0.25">
      <c r="D594" s="91"/>
    </row>
    <row r="595" spans="4:4" x14ac:dyDescent="0.25">
      <c r="D595" s="91"/>
    </row>
    <row r="596" spans="4:4" x14ac:dyDescent="0.25">
      <c r="D596" s="91"/>
    </row>
    <row r="597" spans="4:4" x14ac:dyDescent="0.25">
      <c r="D597" s="91"/>
    </row>
    <row r="598" spans="4:4" x14ac:dyDescent="0.25">
      <c r="D598" s="91"/>
    </row>
    <row r="599" spans="4:4" x14ac:dyDescent="0.25">
      <c r="D599" s="91"/>
    </row>
    <row r="600" spans="4:4" x14ac:dyDescent="0.25">
      <c r="D600" s="91"/>
    </row>
    <row r="601" spans="4:4" x14ac:dyDescent="0.25">
      <c r="D601" s="91"/>
    </row>
    <row r="602" spans="4:4" x14ac:dyDescent="0.25">
      <c r="D602" s="91"/>
    </row>
    <row r="603" spans="4:4" x14ac:dyDescent="0.25">
      <c r="D603" s="91"/>
    </row>
    <row r="604" spans="4:4" x14ac:dyDescent="0.25">
      <c r="D604" s="91"/>
    </row>
    <row r="605" spans="4:4" x14ac:dyDescent="0.25">
      <c r="D605" s="91"/>
    </row>
    <row r="606" spans="4:4" x14ac:dyDescent="0.25">
      <c r="D606" s="91"/>
    </row>
    <row r="607" spans="4:4" x14ac:dyDescent="0.25">
      <c r="D607" s="91"/>
    </row>
    <row r="608" spans="4:4" x14ac:dyDescent="0.25">
      <c r="D608" s="91"/>
    </row>
    <row r="609" spans="4:4" x14ac:dyDescent="0.25">
      <c r="D609" s="91"/>
    </row>
    <row r="610" spans="4:4" x14ac:dyDescent="0.25">
      <c r="D610" s="91"/>
    </row>
    <row r="611" spans="4:4" x14ac:dyDescent="0.25">
      <c r="D611" s="91"/>
    </row>
    <row r="612" spans="4:4" x14ac:dyDescent="0.25">
      <c r="D612" s="91"/>
    </row>
    <row r="613" spans="4:4" x14ac:dyDescent="0.25">
      <c r="D613" s="91"/>
    </row>
    <row r="614" spans="4:4" x14ac:dyDescent="0.25">
      <c r="D614" s="91"/>
    </row>
    <row r="615" spans="4:4" x14ac:dyDescent="0.25">
      <c r="D615" s="91"/>
    </row>
    <row r="616" spans="4:4" x14ac:dyDescent="0.25">
      <c r="D616" s="91"/>
    </row>
    <row r="617" spans="4:4" x14ac:dyDescent="0.25">
      <c r="D617" s="91"/>
    </row>
    <row r="618" spans="4:4" x14ac:dyDescent="0.25">
      <c r="D618" s="91"/>
    </row>
    <row r="619" spans="4:4" x14ac:dyDescent="0.25">
      <c r="D619" s="91"/>
    </row>
    <row r="620" spans="4:4" x14ac:dyDescent="0.25">
      <c r="D620" s="91"/>
    </row>
    <row r="621" spans="4:4" x14ac:dyDescent="0.25">
      <c r="D621" s="91"/>
    </row>
    <row r="622" spans="4:4" x14ac:dyDescent="0.25">
      <c r="D622" s="91"/>
    </row>
    <row r="623" spans="4:4" x14ac:dyDescent="0.25">
      <c r="D623" s="91"/>
    </row>
    <row r="624" spans="4:4" x14ac:dyDescent="0.25">
      <c r="D624" s="91"/>
    </row>
    <row r="625" spans="4:4" x14ac:dyDescent="0.25">
      <c r="D625" s="91"/>
    </row>
    <row r="626" spans="4:4" x14ac:dyDescent="0.25">
      <c r="D626" s="91"/>
    </row>
    <row r="627" spans="4:4" x14ac:dyDescent="0.25">
      <c r="D627" s="91"/>
    </row>
    <row r="628" spans="4:4" x14ac:dyDescent="0.25">
      <c r="D628" s="91"/>
    </row>
    <row r="629" spans="4:4" x14ac:dyDescent="0.25">
      <c r="D629" s="91"/>
    </row>
    <row r="630" spans="4:4" x14ac:dyDescent="0.25">
      <c r="D630" s="91"/>
    </row>
    <row r="631" spans="4:4" x14ac:dyDescent="0.25">
      <c r="D631" s="91"/>
    </row>
    <row r="632" spans="4:4" x14ac:dyDescent="0.25">
      <c r="D632" s="91"/>
    </row>
    <row r="633" spans="4:4" x14ac:dyDescent="0.25">
      <c r="D633" s="91"/>
    </row>
    <row r="634" spans="4:4" x14ac:dyDescent="0.25">
      <c r="D634" s="91"/>
    </row>
    <row r="635" spans="4:4" x14ac:dyDescent="0.25">
      <c r="D635" s="91"/>
    </row>
    <row r="636" spans="4:4" x14ac:dyDescent="0.25">
      <c r="D636" s="91"/>
    </row>
    <row r="637" spans="4:4" x14ac:dyDescent="0.25">
      <c r="D637" s="91"/>
    </row>
    <row r="638" spans="4:4" x14ac:dyDescent="0.25">
      <c r="D638" s="91"/>
    </row>
    <row r="639" spans="4:4" x14ac:dyDescent="0.25">
      <c r="D639" s="91"/>
    </row>
    <row r="640" spans="4:4" x14ac:dyDescent="0.25">
      <c r="D640" s="91"/>
    </row>
    <row r="641" spans="4:4" x14ac:dyDescent="0.25">
      <c r="D641" s="91"/>
    </row>
    <row r="642" spans="4:4" x14ac:dyDescent="0.25">
      <c r="D642" s="91"/>
    </row>
    <row r="643" spans="4:4" x14ac:dyDescent="0.25">
      <c r="D643" s="91"/>
    </row>
    <row r="644" spans="4:4" x14ac:dyDescent="0.25">
      <c r="D644" s="91"/>
    </row>
    <row r="645" spans="4:4" x14ac:dyDescent="0.25">
      <c r="D645" s="91"/>
    </row>
    <row r="646" spans="4:4" x14ac:dyDescent="0.25">
      <c r="D646" s="91"/>
    </row>
    <row r="647" spans="4:4" x14ac:dyDescent="0.25">
      <c r="D647" s="91"/>
    </row>
    <row r="648" spans="4:4" x14ac:dyDescent="0.25">
      <c r="D648" s="91"/>
    </row>
    <row r="649" spans="4:4" x14ac:dyDescent="0.25">
      <c r="D649" s="91"/>
    </row>
  </sheetData>
  <phoneticPr fontId="2" type="noConversion"/>
  <pageMargins left="0.78740157499999996" right="0.78740157499999996" top="0.984251969" bottom="0.984251969" header="0.4921259845" footer="0.4921259845"/>
  <headerFooter alignWithMargins="0"/>
  <ignoredErrors>
    <ignoredError sqref="C7:C45"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2:P52"/>
  <sheetViews>
    <sheetView workbookViewId="0">
      <selection activeCell="D2" sqref="D2"/>
    </sheetView>
  </sheetViews>
  <sheetFormatPr baseColWidth="10" defaultColWidth="11.453125" defaultRowHeight="10" x14ac:dyDescent="0.2"/>
  <cols>
    <col min="1" max="1" width="6.26953125" style="1" customWidth="1"/>
    <col min="2" max="2" width="21.26953125" style="1" bestFit="1" customWidth="1"/>
    <col min="3" max="3" width="15.7265625" style="1" bestFit="1" customWidth="1"/>
    <col min="4" max="4" width="14.453125" style="1" bestFit="1" customWidth="1"/>
    <col min="5" max="5" width="9.1796875" style="1" customWidth="1"/>
    <col min="6" max="6" width="8.26953125" style="1" customWidth="1"/>
    <col min="7" max="7" width="7.54296875" style="1" customWidth="1"/>
    <col min="8" max="8" width="7" style="1" bestFit="1" customWidth="1"/>
    <col min="9" max="9" width="21.26953125" style="1" bestFit="1" customWidth="1"/>
    <col min="10" max="10" width="15.7265625" style="1" bestFit="1" customWidth="1"/>
    <col min="11" max="11" width="14.453125" style="1" bestFit="1" customWidth="1"/>
    <col min="12" max="12" width="11.453125" style="1"/>
    <col min="13" max="13" width="11.81640625" style="1" customWidth="1"/>
    <col min="14" max="14" width="21.26953125" style="1" bestFit="1" customWidth="1"/>
    <col min="15" max="15" width="15.7265625" style="1" bestFit="1" customWidth="1"/>
    <col min="16" max="16" width="14.453125" style="1" bestFit="1" customWidth="1"/>
    <col min="17" max="16384" width="11.453125" style="1"/>
  </cols>
  <sheetData>
    <row r="2" spans="1:16" ht="36" customHeight="1" x14ac:dyDescent="0.2">
      <c r="B2" s="849" t="s">
        <v>67</v>
      </c>
      <c r="C2" s="849"/>
      <c r="D2" s="849"/>
      <c r="E2" s="849"/>
      <c r="F2" s="849"/>
      <c r="G2" s="849"/>
      <c r="H2" s="849"/>
      <c r="I2" s="849"/>
      <c r="J2" s="849"/>
      <c r="K2" s="849"/>
      <c r="L2" s="849"/>
      <c r="M2" s="849"/>
      <c r="N2" s="849"/>
      <c r="O2" s="849"/>
    </row>
    <row r="3" spans="1:16" s="269" customFormat="1" ht="11.25" customHeight="1" x14ac:dyDescent="0.2">
      <c r="B3" s="288" t="s">
        <v>342</v>
      </c>
      <c r="C3" s="289">
        <f>COUNTA(B8:B52)</f>
        <v>18</v>
      </c>
      <c r="D3" s="287"/>
      <c r="E3" s="287"/>
      <c r="F3" s="287"/>
      <c r="G3" s="287"/>
      <c r="H3" s="287"/>
      <c r="I3" s="288" t="s">
        <v>342</v>
      </c>
      <c r="J3" s="289">
        <f>COUNTA(I8:I52)</f>
        <v>18</v>
      </c>
      <c r="K3" s="287"/>
      <c r="L3" s="287"/>
      <c r="M3" s="287"/>
      <c r="N3" s="287"/>
      <c r="O3" s="287"/>
    </row>
    <row r="4" spans="1:16" ht="11.25" customHeight="1" x14ac:dyDescent="0.25">
      <c r="B4" s="282" t="s">
        <v>350</v>
      </c>
      <c r="C4" s="289" t="str">
        <f>"TDCable!C7:D8"</f>
        <v>TDCable!C7:D8</v>
      </c>
      <c r="D4" s="285"/>
      <c r="E4" s="285"/>
      <c r="F4" s="285"/>
      <c r="G4" s="285"/>
      <c r="H4" s="285"/>
      <c r="I4" s="282" t="s">
        <v>350</v>
      </c>
      <c r="J4" s="289" t="str">
        <f>"TDCable!J7:K8"</f>
        <v>TDCable!J7:K8</v>
      </c>
      <c r="K4" s="285"/>
      <c r="L4" s="286"/>
      <c r="M4" s="265"/>
      <c r="N4" s="616" t="s">
        <v>343</v>
      </c>
      <c r="O4" s="617">
        <f>COUNTA(N13:N52)</f>
        <v>12</v>
      </c>
    </row>
    <row r="5" spans="1:16" ht="11.25" customHeight="1" x14ac:dyDescent="0.2">
      <c r="B5" s="110" t="str">
        <f>"TDCable!B9:B"&amp;C3+7</f>
        <v>TDCable!B9:B25</v>
      </c>
      <c r="C5" s="850" t="str">
        <f>"TDCable!C9:D"&amp;C3+7</f>
        <v>TDCable!C9:D25</v>
      </c>
      <c r="D5" s="850"/>
      <c r="E5" s="285"/>
      <c r="F5" s="285"/>
      <c r="G5" s="285"/>
      <c r="H5" s="285"/>
      <c r="I5" s="110" t="str">
        <f>"TDCable!I9:I"&amp;J3+7</f>
        <v>TDCable!I9:I25</v>
      </c>
      <c r="J5" s="850" t="str">
        <f>"TDCable!J9:K"&amp;J3+7</f>
        <v>TDCable!J9:K25</v>
      </c>
      <c r="K5" s="850"/>
      <c r="L5" s="286"/>
      <c r="M5" s="265"/>
      <c r="N5" s="265"/>
      <c r="O5" s="265"/>
    </row>
    <row r="6" spans="1:16" ht="10.5" x14ac:dyDescent="0.25">
      <c r="A6" s="228" t="s">
        <v>47</v>
      </c>
      <c r="B6" s="18" t="s">
        <v>285</v>
      </c>
      <c r="C6" s="18" t="s">
        <v>11</v>
      </c>
      <c r="D6" s="18" t="s">
        <v>12</v>
      </c>
      <c r="H6" s="228" t="s">
        <v>53</v>
      </c>
      <c r="I6" s="18" t="s">
        <v>285</v>
      </c>
      <c r="J6" s="18" t="s">
        <v>11</v>
      </c>
      <c r="K6" s="18" t="s">
        <v>12</v>
      </c>
      <c r="N6" s="429" t="s">
        <v>614</v>
      </c>
      <c r="O6" s="619" t="s">
        <v>139</v>
      </c>
      <c r="P6" s="612" t="s">
        <v>285</v>
      </c>
    </row>
    <row r="7" spans="1:16" x14ac:dyDescent="0.2">
      <c r="A7" s="229" t="s">
        <v>286</v>
      </c>
      <c r="B7" s="222" t="str">
        <f>LanguageTable!B5</f>
        <v>Other cable</v>
      </c>
      <c r="C7" s="357">
        <f>UserInterface!E25</f>
        <v>3</v>
      </c>
      <c r="D7" s="358">
        <f>UserInterface!E25</f>
        <v>3</v>
      </c>
      <c r="E7" s="1" t="s">
        <v>5</v>
      </c>
      <c r="F7" s="13"/>
      <c r="G7" s="13"/>
      <c r="H7" s="229" t="s">
        <v>286</v>
      </c>
      <c r="I7" s="222" t="str">
        <f>LanguageTable!B5</f>
        <v>Other cable</v>
      </c>
      <c r="J7" s="357">
        <f>UserInterface!K25</f>
        <v>3</v>
      </c>
      <c r="K7" s="358">
        <f>UserInterface!K25</f>
        <v>3</v>
      </c>
      <c r="L7" s="1" t="s">
        <v>5</v>
      </c>
      <c r="N7" s="6" t="s">
        <v>615</v>
      </c>
      <c r="O7" s="618">
        <f ca="1">MATCH(SelectionTables!J4,INDIRECT(N11),0)</f>
        <v>11</v>
      </c>
      <c r="P7" s="613" t="str">
        <f ca="1">INDEX(INDIRECT(O11),O7)</f>
        <v>No cable</v>
      </c>
    </row>
    <row r="8" spans="1:16" ht="10.5" thickBot="1" x14ac:dyDescent="0.25">
      <c r="A8" s="229" t="s">
        <v>287</v>
      </c>
      <c r="B8" s="290" t="str">
        <f>LanguageTable!B5</f>
        <v>Other cable</v>
      </c>
      <c r="C8" s="359">
        <f>UserInterface!E30</f>
        <v>20</v>
      </c>
      <c r="D8" s="360">
        <f>UserInterface!E30</f>
        <v>20</v>
      </c>
      <c r="E8" s="1" t="s">
        <v>5</v>
      </c>
      <c r="F8" s="13"/>
      <c r="G8" s="13"/>
      <c r="H8" s="229" t="s">
        <v>287</v>
      </c>
      <c r="I8" s="290" t="str">
        <f>LanguageTable!B5</f>
        <v>Other cable</v>
      </c>
      <c r="J8" s="359">
        <f>UserInterface!K30</f>
        <v>0</v>
      </c>
      <c r="K8" s="360">
        <f>UserInterface!K30</f>
        <v>0</v>
      </c>
      <c r="L8" s="1" t="s">
        <v>5</v>
      </c>
      <c r="N8" s="7" t="s">
        <v>616</v>
      </c>
      <c r="O8" s="620">
        <f ca="1">MATCH(SelectionTables!U4,INDIRECT(N11),0)</f>
        <v>11</v>
      </c>
      <c r="P8" s="614" t="str">
        <f ca="1">INDEX(INDIRECT(O11),O8)</f>
        <v>No cable</v>
      </c>
    </row>
    <row r="9" spans="1:16" ht="10.5" thickTop="1" x14ac:dyDescent="0.2">
      <c r="B9" s="223" t="str">
        <f>LanguageTable!B4</f>
        <v>No cable</v>
      </c>
      <c r="C9" s="224">
        <v>0</v>
      </c>
      <c r="D9" s="225">
        <v>0</v>
      </c>
      <c r="E9" s="1" t="s">
        <v>5</v>
      </c>
      <c r="F9" s="13"/>
      <c r="G9" s="13"/>
      <c r="H9" s="13"/>
      <c r="I9" s="223" t="str">
        <f>LanguageTable!B4</f>
        <v>No cable</v>
      </c>
      <c r="J9" s="224">
        <v>0</v>
      </c>
      <c r="K9" s="225">
        <v>0</v>
      </c>
      <c r="L9" s="1" t="s">
        <v>5</v>
      </c>
    </row>
    <row r="10" spans="1:16" x14ac:dyDescent="0.2">
      <c r="B10" s="6" t="s">
        <v>13</v>
      </c>
      <c r="C10" s="20">
        <v>3</v>
      </c>
      <c r="D10" s="19">
        <v>4.5</v>
      </c>
      <c r="E10" s="1" t="s">
        <v>5</v>
      </c>
      <c r="I10" s="6" t="s">
        <v>13</v>
      </c>
      <c r="J10" s="20">
        <v>3</v>
      </c>
      <c r="K10" s="19">
        <v>4.5</v>
      </c>
      <c r="L10" s="1" t="s">
        <v>5</v>
      </c>
    </row>
    <row r="11" spans="1:16" x14ac:dyDescent="0.2">
      <c r="B11" s="6" t="s">
        <v>14</v>
      </c>
      <c r="C11" s="20">
        <v>3</v>
      </c>
      <c r="D11" s="19">
        <v>4.7</v>
      </c>
      <c r="E11" s="1" t="s">
        <v>5</v>
      </c>
      <c r="I11" s="6" t="s">
        <v>14</v>
      </c>
      <c r="J11" s="20">
        <v>3</v>
      </c>
      <c r="K11" s="19">
        <v>4.7</v>
      </c>
      <c r="L11" s="1" t="s">
        <v>5</v>
      </c>
      <c r="N11" s="615" t="str">
        <f>"TDCable!N13:N"&amp;O4+12</f>
        <v>TDCable!N13:N24</v>
      </c>
      <c r="O11" s="615" t="str">
        <f>"TDCable!O13:O"&amp;O4+12</f>
        <v>TDCable!O13:O24</v>
      </c>
    </row>
    <row r="12" spans="1:16" ht="10.5" x14ac:dyDescent="0.25">
      <c r="B12" s="6" t="s">
        <v>15</v>
      </c>
      <c r="C12" s="20">
        <v>4.5</v>
      </c>
      <c r="D12" s="19">
        <v>7</v>
      </c>
      <c r="E12" s="1" t="s">
        <v>5</v>
      </c>
      <c r="I12" s="6" t="s">
        <v>15</v>
      </c>
      <c r="J12" s="20">
        <v>4.5</v>
      </c>
      <c r="K12" s="19">
        <v>7</v>
      </c>
      <c r="L12" s="1" t="s">
        <v>5</v>
      </c>
      <c r="N12" s="44" t="s">
        <v>19</v>
      </c>
      <c r="O12" s="621" t="str">
        <f>LanguageTable!B47</f>
        <v>Default cable</v>
      </c>
    </row>
    <row r="13" spans="1:16" x14ac:dyDescent="0.2">
      <c r="B13" s="21" t="s">
        <v>16</v>
      </c>
      <c r="C13" s="22">
        <v>9</v>
      </c>
      <c r="D13" s="74"/>
      <c r="E13" s="1" t="s">
        <v>5</v>
      </c>
      <c r="I13" s="608" t="s">
        <v>16</v>
      </c>
      <c r="J13" s="22">
        <v>9</v>
      </c>
      <c r="K13" s="74"/>
      <c r="L13" s="1" t="s">
        <v>5</v>
      </c>
      <c r="N13" s="609" t="str">
        <f>LanguageTable!B3</f>
        <v>Other antenna</v>
      </c>
      <c r="O13" s="610" t="str">
        <f>LanguageTable!B4</f>
        <v>No cable</v>
      </c>
    </row>
    <row r="14" spans="1:16" x14ac:dyDescent="0.2">
      <c r="B14" s="21" t="s">
        <v>17</v>
      </c>
      <c r="C14" s="22">
        <v>6</v>
      </c>
      <c r="D14" s="74"/>
      <c r="E14" s="1" t="s">
        <v>5</v>
      </c>
      <c r="I14" s="608" t="s">
        <v>17</v>
      </c>
      <c r="J14" s="22">
        <v>6</v>
      </c>
      <c r="K14" s="74"/>
      <c r="L14" s="1" t="s">
        <v>5</v>
      </c>
      <c r="N14" s="551" t="str">
        <f>LanguageTable!B2</f>
        <v>Default antenna</v>
      </c>
      <c r="O14" s="611" t="str">
        <f>LanguageTable!B4</f>
        <v>No cable</v>
      </c>
    </row>
    <row r="15" spans="1:16" x14ac:dyDescent="0.2">
      <c r="B15" s="21" t="s">
        <v>341</v>
      </c>
      <c r="C15" s="22"/>
      <c r="D15" s="19">
        <v>1</v>
      </c>
      <c r="E15" s="1" t="s">
        <v>5</v>
      </c>
      <c r="I15" s="608" t="s">
        <v>341</v>
      </c>
      <c r="J15" s="22"/>
      <c r="K15" s="19">
        <v>1</v>
      </c>
      <c r="L15" s="1" t="s">
        <v>5</v>
      </c>
      <c r="N15" s="6" t="s">
        <v>676</v>
      </c>
      <c r="O15" s="10" t="s">
        <v>18</v>
      </c>
    </row>
    <row r="16" spans="1:16" x14ac:dyDescent="0.2">
      <c r="B16" s="21" t="s">
        <v>277</v>
      </c>
      <c r="C16" s="22"/>
      <c r="D16" s="19">
        <v>2</v>
      </c>
      <c r="E16" s="1" t="s">
        <v>5</v>
      </c>
      <c r="I16" s="21" t="s">
        <v>277</v>
      </c>
      <c r="J16" s="22"/>
      <c r="K16" s="19">
        <v>2</v>
      </c>
      <c r="L16" s="1" t="s">
        <v>5</v>
      </c>
      <c r="N16" s="6" t="s">
        <v>6</v>
      </c>
      <c r="O16" s="10" t="s">
        <v>341</v>
      </c>
    </row>
    <row r="17" spans="2:15" x14ac:dyDescent="0.2">
      <c r="B17" s="21" t="s">
        <v>18</v>
      </c>
      <c r="C17" s="22"/>
      <c r="D17" s="19">
        <v>0.5</v>
      </c>
      <c r="E17" s="1" t="s">
        <v>5</v>
      </c>
      <c r="I17" s="608" t="s">
        <v>18</v>
      </c>
      <c r="J17" s="22"/>
      <c r="K17" s="19">
        <v>0.5</v>
      </c>
      <c r="L17" s="1" t="s">
        <v>5</v>
      </c>
      <c r="N17" s="6" t="s">
        <v>679</v>
      </c>
      <c r="O17" s="10" t="s">
        <v>340</v>
      </c>
    </row>
    <row r="18" spans="2:15" x14ac:dyDescent="0.2">
      <c r="B18" s="21" t="s">
        <v>338</v>
      </c>
      <c r="C18" s="22"/>
      <c r="D18" s="19">
        <v>1</v>
      </c>
      <c r="E18" s="1" t="s">
        <v>5</v>
      </c>
      <c r="I18" s="608" t="s">
        <v>338</v>
      </c>
      <c r="J18" s="22"/>
      <c r="K18" s="19">
        <v>1</v>
      </c>
      <c r="L18" s="1" t="s">
        <v>5</v>
      </c>
      <c r="N18" s="6" t="s">
        <v>7</v>
      </c>
      <c r="O18" s="10" t="s">
        <v>16</v>
      </c>
    </row>
    <row r="19" spans="2:15" x14ac:dyDescent="0.2">
      <c r="B19" s="21" t="s">
        <v>339</v>
      </c>
      <c r="C19" s="20">
        <v>1</v>
      </c>
      <c r="D19" s="74"/>
      <c r="E19" s="1" t="s">
        <v>5</v>
      </c>
      <c r="I19" s="608" t="s">
        <v>339</v>
      </c>
      <c r="J19" s="20">
        <v>1</v>
      </c>
      <c r="K19" s="74"/>
      <c r="L19" s="1" t="s">
        <v>5</v>
      </c>
      <c r="N19" s="6" t="s">
        <v>8</v>
      </c>
      <c r="O19" s="10" t="s">
        <v>17</v>
      </c>
    </row>
    <row r="20" spans="2:15" x14ac:dyDescent="0.2">
      <c r="B20" s="21" t="s">
        <v>340</v>
      </c>
      <c r="C20" s="20">
        <v>1</v>
      </c>
      <c r="D20" s="19">
        <v>1</v>
      </c>
      <c r="E20" s="1" t="s">
        <v>5</v>
      </c>
      <c r="I20" s="608" t="s">
        <v>340</v>
      </c>
      <c r="J20" s="20">
        <v>1</v>
      </c>
      <c r="K20" s="19">
        <v>1</v>
      </c>
      <c r="L20" s="1" t="s">
        <v>5</v>
      </c>
      <c r="N20" s="6" t="s">
        <v>9</v>
      </c>
      <c r="O20" s="10" t="s">
        <v>338</v>
      </c>
    </row>
    <row r="21" spans="2:15" x14ac:dyDescent="0.2">
      <c r="B21" s="21" t="s">
        <v>278</v>
      </c>
      <c r="C21" s="20">
        <v>1</v>
      </c>
      <c r="D21" s="19">
        <v>1</v>
      </c>
      <c r="E21" s="1" t="s">
        <v>5</v>
      </c>
      <c r="I21" s="21" t="s">
        <v>278</v>
      </c>
      <c r="J21" s="20">
        <v>1</v>
      </c>
      <c r="K21" s="19">
        <v>1</v>
      </c>
      <c r="L21" s="1" t="s">
        <v>5</v>
      </c>
      <c r="N21" s="6" t="s">
        <v>10</v>
      </c>
      <c r="O21" s="10" t="s">
        <v>339</v>
      </c>
    </row>
    <row r="22" spans="2:15" x14ac:dyDescent="0.2">
      <c r="B22" s="21" t="s">
        <v>279</v>
      </c>
      <c r="C22" s="20">
        <v>0.5</v>
      </c>
      <c r="D22" s="19">
        <v>0.5</v>
      </c>
      <c r="E22" s="1" t="s">
        <v>5</v>
      </c>
      <c r="I22" s="21" t="s">
        <v>279</v>
      </c>
      <c r="J22" s="20">
        <v>0.5</v>
      </c>
      <c r="K22" s="19">
        <v>0.5</v>
      </c>
      <c r="L22" s="1" t="s">
        <v>5</v>
      </c>
      <c r="N22" s="6" t="s">
        <v>676</v>
      </c>
      <c r="O22" s="10" t="s">
        <v>18</v>
      </c>
    </row>
    <row r="23" spans="2:15" x14ac:dyDescent="0.2">
      <c r="B23" s="21" t="s">
        <v>589</v>
      </c>
      <c r="C23" s="22">
        <v>0.5</v>
      </c>
      <c r="D23" s="74">
        <v>0.5</v>
      </c>
      <c r="E23" s="1" t="s">
        <v>5</v>
      </c>
      <c r="I23" s="21" t="s">
        <v>589</v>
      </c>
      <c r="J23" s="22">
        <v>0.5</v>
      </c>
      <c r="K23" s="74">
        <v>0.5</v>
      </c>
      <c r="L23" s="1" t="s">
        <v>5</v>
      </c>
      <c r="N23" s="6" t="s">
        <v>600</v>
      </c>
      <c r="O23" s="611" t="str">
        <f>LanguageTable!B4</f>
        <v>No cable</v>
      </c>
    </row>
    <row r="24" spans="2:15" x14ac:dyDescent="0.2">
      <c r="B24" s="21" t="s">
        <v>603</v>
      </c>
      <c r="C24" s="22">
        <v>0.5</v>
      </c>
      <c r="D24" s="74">
        <v>0.5</v>
      </c>
      <c r="E24" s="1" t="s">
        <v>5</v>
      </c>
      <c r="I24" s="21" t="s">
        <v>603</v>
      </c>
      <c r="J24" s="22">
        <v>0.5</v>
      </c>
      <c r="K24" s="74">
        <v>0.5</v>
      </c>
      <c r="L24" s="1" t="s">
        <v>5</v>
      </c>
      <c r="N24" s="6" t="s">
        <v>601</v>
      </c>
      <c r="O24" s="611" t="str">
        <f>LanguageTable!B4</f>
        <v>No cable</v>
      </c>
    </row>
    <row r="25" spans="2:15" x14ac:dyDescent="0.2">
      <c r="B25" s="551" t="str">
        <f>LanguageTable!B47</f>
        <v>Default cable</v>
      </c>
      <c r="C25" s="622">
        <f ca="1">INDEX(INDIRECT(C5),MATCH(P7,INDIRECT(B5),0),1)</f>
        <v>0</v>
      </c>
      <c r="D25" s="623">
        <f ca="1">INDEX(INDIRECT(C5),MATCH(P7,INDIRECT(B5),0),2)</f>
        <v>0</v>
      </c>
      <c r="E25" s="1" t="s">
        <v>5</v>
      </c>
      <c r="I25" s="551" t="str">
        <f>LanguageTable!B47</f>
        <v>Default cable</v>
      </c>
      <c r="J25" s="622">
        <f ca="1">INDEX(INDIRECT(J5),MATCH(P8,INDIRECT(I5),0),1)</f>
        <v>0</v>
      </c>
      <c r="K25" s="623">
        <f ca="1">INDEX(INDIRECT(J5),MATCH(P8,INDIRECT(I5),0),2)</f>
        <v>0</v>
      </c>
      <c r="L25" s="1" t="s">
        <v>5</v>
      </c>
      <c r="N25" s="459"/>
      <c r="O25" s="10"/>
    </row>
    <row r="26" spans="2:15" ht="10.5" x14ac:dyDescent="0.25">
      <c r="B26" s="21"/>
      <c r="C26" s="24"/>
      <c r="D26" s="95"/>
      <c r="E26" s="1" t="s">
        <v>5</v>
      </c>
      <c r="F26" s="24"/>
      <c r="G26" s="220"/>
      <c r="H26" s="220"/>
      <c r="I26" s="21"/>
      <c r="J26" s="24"/>
      <c r="K26" s="95"/>
      <c r="L26" s="1" t="s">
        <v>5</v>
      </c>
      <c r="N26" s="6"/>
      <c r="O26" s="10"/>
    </row>
    <row r="27" spans="2:15" x14ac:dyDescent="0.2">
      <c r="B27" s="6"/>
      <c r="C27" s="2"/>
      <c r="D27" s="10"/>
      <c r="E27" s="1" t="s">
        <v>5</v>
      </c>
      <c r="F27" s="24"/>
      <c r="G27" s="24"/>
      <c r="H27" s="22"/>
      <c r="I27" s="226"/>
      <c r="J27" s="24"/>
      <c r="K27" s="10"/>
      <c r="L27" s="1" t="s">
        <v>5</v>
      </c>
      <c r="N27" s="6"/>
      <c r="O27" s="10"/>
    </row>
    <row r="28" spans="2:15" x14ac:dyDescent="0.2">
      <c r="B28" s="6"/>
      <c r="C28" s="2"/>
      <c r="D28" s="10"/>
      <c r="E28" s="1" t="s">
        <v>5</v>
      </c>
      <c r="F28" s="24"/>
      <c r="G28" s="24"/>
      <c r="H28" s="22"/>
      <c r="I28" s="226"/>
      <c r="J28" s="24"/>
      <c r="K28" s="10"/>
      <c r="L28" s="1" t="s">
        <v>5</v>
      </c>
      <c r="N28" s="6"/>
      <c r="O28" s="10"/>
    </row>
    <row r="29" spans="2:15" x14ac:dyDescent="0.2">
      <c r="B29" s="6"/>
      <c r="C29" s="2"/>
      <c r="D29" s="10"/>
      <c r="E29" s="1" t="s">
        <v>5</v>
      </c>
      <c r="F29" s="24"/>
      <c r="G29" s="24"/>
      <c r="H29" s="22"/>
      <c r="I29" s="226"/>
      <c r="J29" s="24"/>
      <c r="K29" s="10"/>
      <c r="L29" s="1" t="s">
        <v>5</v>
      </c>
      <c r="N29" s="6"/>
      <c r="O29" s="10"/>
    </row>
    <row r="30" spans="2:15" x14ac:dyDescent="0.2">
      <c r="B30" s="6"/>
      <c r="C30" s="2"/>
      <c r="D30" s="10"/>
      <c r="E30" s="1" t="s">
        <v>5</v>
      </c>
      <c r="F30" s="24"/>
      <c r="G30" s="24"/>
      <c r="H30" s="22"/>
      <c r="I30" s="226"/>
      <c r="J30" s="24"/>
      <c r="K30" s="10"/>
      <c r="L30" s="1" t="s">
        <v>5</v>
      </c>
      <c r="N30" s="6"/>
      <c r="O30" s="10"/>
    </row>
    <row r="31" spans="2:15" x14ac:dyDescent="0.2">
      <c r="B31" s="6"/>
      <c r="C31" s="2"/>
      <c r="D31" s="10"/>
      <c r="E31" s="1" t="s">
        <v>5</v>
      </c>
      <c r="F31" s="24"/>
      <c r="G31" s="24"/>
      <c r="H31" s="22"/>
      <c r="I31" s="226"/>
      <c r="J31" s="24"/>
      <c r="K31" s="10"/>
      <c r="L31" s="1" t="s">
        <v>5</v>
      </c>
      <c r="N31" s="6"/>
      <c r="O31" s="10"/>
    </row>
    <row r="32" spans="2:15" x14ac:dyDescent="0.2">
      <c r="B32" s="6"/>
      <c r="C32" s="2"/>
      <c r="D32" s="10"/>
      <c r="E32" s="1" t="s">
        <v>5</v>
      </c>
      <c r="F32" s="24"/>
      <c r="G32" s="24"/>
      <c r="H32" s="22"/>
      <c r="I32" s="226"/>
      <c r="J32" s="24"/>
      <c r="K32" s="10"/>
      <c r="L32" s="1" t="s">
        <v>5</v>
      </c>
      <c r="N32" s="6"/>
      <c r="O32" s="10"/>
    </row>
    <row r="33" spans="2:15" x14ac:dyDescent="0.2">
      <c r="B33" s="6"/>
      <c r="C33" s="2"/>
      <c r="D33" s="10"/>
      <c r="E33" s="1" t="s">
        <v>5</v>
      </c>
      <c r="F33" s="24"/>
      <c r="G33" s="24"/>
      <c r="H33" s="22"/>
      <c r="I33" s="226"/>
      <c r="J33" s="24"/>
      <c r="K33" s="10"/>
      <c r="L33" s="1" t="s">
        <v>5</v>
      </c>
      <c r="N33" s="6"/>
      <c r="O33" s="10"/>
    </row>
    <row r="34" spans="2:15" x14ac:dyDescent="0.2">
      <c r="B34" s="6"/>
      <c r="C34" s="2"/>
      <c r="D34" s="10"/>
      <c r="E34" s="1" t="s">
        <v>5</v>
      </c>
      <c r="F34" s="24"/>
      <c r="G34" s="24"/>
      <c r="H34" s="22"/>
      <c r="I34" s="226"/>
      <c r="J34" s="24"/>
      <c r="K34" s="10"/>
      <c r="L34" s="1" t="s">
        <v>5</v>
      </c>
      <c r="N34" s="6"/>
      <c r="O34" s="10"/>
    </row>
    <row r="35" spans="2:15" x14ac:dyDescent="0.2">
      <c r="B35" s="6"/>
      <c r="C35" s="2"/>
      <c r="D35" s="10"/>
      <c r="E35" s="1" t="s">
        <v>5</v>
      </c>
      <c r="F35" s="24"/>
      <c r="G35" s="24"/>
      <c r="H35" s="22"/>
      <c r="I35" s="226"/>
      <c r="J35" s="24"/>
      <c r="K35" s="10"/>
      <c r="L35" s="1" t="s">
        <v>5</v>
      </c>
      <c r="N35" s="6"/>
      <c r="O35" s="10"/>
    </row>
    <row r="36" spans="2:15" x14ac:dyDescent="0.2">
      <c r="B36" s="6"/>
      <c r="C36" s="2"/>
      <c r="D36" s="10"/>
      <c r="E36" s="1" t="s">
        <v>5</v>
      </c>
      <c r="F36" s="24"/>
      <c r="G36" s="24"/>
      <c r="H36" s="22"/>
      <c r="I36" s="226"/>
      <c r="J36" s="24"/>
      <c r="K36" s="10"/>
      <c r="L36" s="1" t="s">
        <v>5</v>
      </c>
      <c r="N36" s="6"/>
      <c r="O36" s="10"/>
    </row>
    <row r="37" spans="2:15" x14ac:dyDescent="0.2">
      <c r="B37" s="6"/>
      <c r="C37" s="2"/>
      <c r="D37" s="10"/>
      <c r="E37" s="1" t="s">
        <v>5</v>
      </c>
      <c r="F37" s="24"/>
      <c r="G37" s="24"/>
      <c r="H37" s="24"/>
      <c r="I37" s="21"/>
      <c r="J37" s="24"/>
      <c r="K37" s="10"/>
      <c r="L37" s="1" t="s">
        <v>5</v>
      </c>
      <c r="N37" s="6"/>
      <c r="O37" s="10"/>
    </row>
    <row r="38" spans="2:15" x14ac:dyDescent="0.2">
      <c r="B38" s="6"/>
      <c r="C38" s="2"/>
      <c r="D38" s="10"/>
      <c r="E38" s="1" t="s">
        <v>5</v>
      </c>
      <c r="F38" s="24"/>
      <c r="G38" s="24"/>
      <c r="H38" s="24"/>
      <c r="I38" s="21"/>
      <c r="J38" s="24"/>
      <c r="K38" s="10"/>
      <c r="L38" s="1" t="s">
        <v>5</v>
      </c>
      <c r="N38" s="6"/>
      <c r="O38" s="10"/>
    </row>
    <row r="39" spans="2:15" x14ac:dyDescent="0.2">
      <c r="B39" s="6"/>
      <c r="C39" s="2"/>
      <c r="D39" s="10"/>
      <c r="E39" s="1" t="s">
        <v>5</v>
      </c>
      <c r="F39" s="24"/>
      <c r="G39" s="24"/>
      <c r="H39" s="221"/>
      <c r="I39" s="227"/>
      <c r="J39" s="24"/>
      <c r="K39" s="10"/>
      <c r="L39" s="1" t="s">
        <v>5</v>
      </c>
      <c r="N39" s="6"/>
      <c r="O39" s="10"/>
    </row>
    <row r="40" spans="2:15" x14ac:dyDescent="0.2">
      <c r="B40" s="6"/>
      <c r="C40" s="2"/>
      <c r="D40" s="10"/>
      <c r="E40" s="1" t="s">
        <v>5</v>
      </c>
      <c r="F40" s="24"/>
      <c r="G40" s="24"/>
      <c r="H40" s="24"/>
      <c r="I40" s="21"/>
      <c r="J40" s="24"/>
      <c r="K40" s="10"/>
      <c r="L40" s="1" t="s">
        <v>5</v>
      </c>
      <c r="N40" s="6"/>
      <c r="O40" s="10"/>
    </row>
    <row r="41" spans="2:15" x14ac:dyDescent="0.2">
      <c r="B41" s="6"/>
      <c r="C41" s="2"/>
      <c r="D41" s="10"/>
      <c r="E41" s="1" t="s">
        <v>5</v>
      </c>
      <c r="F41" s="24"/>
      <c r="G41" s="24"/>
      <c r="H41" s="24"/>
      <c r="I41" s="21"/>
      <c r="J41" s="24"/>
      <c r="K41" s="10"/>
      <c r="L41" s="1" t="s">
        <v>5</v>
      </c>
      <c r="N41" s="6"/>
      <c r="O41" s="10"/>
    </row>
    <row r="42" spans="2:15" x14ac:dyDescent="0.2">
      <c r="B42" s="6"/>
      <c r="C42" s="2"/>
      <c r="D42" s="10"/>
      <c r="E42" s="1" t="s">
        <v>5</v>
      </c>
      <c r="I42" s="6"/>
      <c r="J42" s="2"/>
      <c r="K42" s="10"/>
      <c r="L42" s="1" t="s">
        <v>5</v>
      </c>
      <c r="N42" s="6"/>
      <c r="O42" s="10"/>
    </row>
    <row r="43" spans="2:15" x14ac:dyDescent="0.2">
      <c r="B43" s="6"/>
      <c r="C43" s="2"/>
      <c r="D43" s="10"/>
      <c r="E43" s="1" t="s">
        <v>5</v>
      </c>
      <c r="I43" s="6"/>
      <c r="J43" s="2"/>
      <c r="K43" s="10"/>
      <c r="L43" s="1" t="s">
        <v>5</v>
      </c>
      <c r="N43" s="6"/>
      <c r="O43" s="10"/>
    </row>
    <row r="44" spans="2:15" x14ac:dyDescent="0.2">
      <c r="B44" s="6"/>
      <c r="C44" s="2"/>
      <c r="D44" s="10"/>
      <c r="E44" s="1" t="s">
        <v>5</v>
      </c>
      <c r="I44" s="6"/>
      <c r="J44" s="2"/>
      <c r="K44" s="10"/>
      <c r="L44" s="1" t="s">
        <v>5</v>
      </c>
      <c r="N44" s="6"/>
      <c r="O44" s="10"/>
    </row>
    <row r="45" spans="2:15" x14ac:dyDescent="0.2">
      <c r="B45" s="6"/>
      <c r="C45" s="2"/>
      <c r="D45" s="10"/>
      <c r="E45" s="1" t="s">
        <v>5</v>
      </c>
      <c r="I45" s="6"/>
      <c r="J45" s="2"/>
      <c r="K45" s="10"/>
      <c r="L45" s="1" t="s">
        <v>5</v>
      </c>
      <c r="N45" s="6"/>
      <c r="O45" s="10"/>
    </row>
    <row r="46" spans="2:15" x14ac:dyDescent="0.2">
      <c r="B46" s="6"/>
      <c r="C46" s="2"/>
      <c r="D46" s="10"/>
      <c r="E46" s="1" t="s">
        <v>5</v>
      </c>
      <c r="I46" s="6"/>
      <c r="J46" s="2"/>
      <c r="K46" s="10"/>
      <c r="L46" s="1" t="s">
        <v>5</v>
      </c>
      <c r="N46" s="6"/>
      <c r="O46" s="10"/>
    </row>
    <row r="47" spans="2:15" x14ac:dyDescent="0.2">
      <c r="B47" s="6"/>
      <c r="C47" s="2"/>
      <c r="D47" s="10"/>
      <c r="E47" s="1" t="s">
        <v>5</v>
      </c>
      <c r="I47" s="6"/>
      <c r="J47" s="2"/>
      <c r="K47" s="10"/>
      <c r="L47" s="1" t="s">
        <v>5</v>
      </c>
      <c r="N47" s="6"/>
      <c r="O47" s="10"/>
    </row>
    <row r="48" spans="2:15" x14ac:dyDescent="0.2">
      <c r="B48" s="6"/>
      <c r="C48" s="2"/>
      <c r="D48" s="10"/>
      <c r="E48" s="1" t="s">
        <v>5</v>
      </c>
      <c r="I48" s="6"/>
      <c r="J48" s="2"/>
      <c r="K48" s="10"/>
      <c r="L48" s="1" t="s">
        <v>5</v>
      </c>
      <c r="N48" s="6"/>
      <c r="O48" s="10"/>
    </row>
    <row r="49" spans="2:15" x14ac:dyDescent="0.2">
      <c r="B49" s="6"/>
      <c r="C49" s="2"/>
      <c r="D49" s="10"/>
      <c r="E49" s="1" t="s">
        <v>5</v>
      </c>
      <c r="I49" s="6"/>
      <c r="J49" s="2"/>
      <c r="K49" s="10"/>
      <c r="L49" s="1" t="s">
        <v>5</v>
      </c>
      <c r="N49" s="6"/>
      <c r="O49" s="10"/>
    </row>
    <row r="50" spans="2:15" x14ac:dyDescent="0.2">
      <c r="B50" s="6"/>
      <c r="C50" s="2"/>
      <c r="D50" s="10"/>
      <c r="E50" s="1" t="s">
        <v>5</v>
      </c>
      <c r="I50" s="6"/>
      <c r="J50" s="2"/>
      <c r="K50" s="10"/>
      <c r="L50" s="1" t="s">
        <v>5</v>
      </c>
      <c r="N50" s="6"/>
      <c r="O50" s="10"/>
    </row>
    <row r="51" spans="2:15" x14ac:dyDescent="0.2">
      <c r="B51" s="6"/>
      <c r="C51" s="2"/>
      <c r="D51" s="10"/>
      <c r="E51" s="1" t="s">
        <v>5</v>
      </c>
      <c r="I51" s="6"/>
      <c r="J51" s="2"/>
      <c r="K51" s="10"/>
      <c r="L51" s="1" t="s">
        <v>5</v>
      </c>
      <c r="N51" s="6"/>
      <c r="O51" s="10"/>
    </row>
    <row r="52" spans="2:15" x14ac:dyDescent="0.2">
      <c r="B52" s="7"/>
      <c r="C52" s="8"/>
      <c r="D52" s="11"/>
      <c r="E52" s="1" t="s">
        <v>5</v>
      </c>
      <c r="I52" s="7"/>
      <c r="J52" s="8"/>
      <c r="K52" s="11"/>
      <c r="L52" s="1" t="s">
        <v>5</v>
      </c>
      <c r="N52" s="7"/>
      <c r="O52" s="11"/>
    </row>
  </sheetData>
  <mergeCells count="3">
    <mergeCell ref="B2:O2"/>
    <mergeCell ref="C5:D5"/>
    <mergeCell ref="J5:K5"/>
  </mergeCells>
  <phoneticPr fontId="2"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0"/>
  <dimension ref="A2:V60"/>
  <sheetViews>
    <sheetView workbookViewId="0">
      <selection activeCell="D2" sqref="D2"/>
    </sheetView>
  </sheetViews>
  <sheetFormatPr baseColWidth="10" defaultColWidth="11.453125" defaultRowHeight="10" x14ac:dyDescent="0.2"/>
  <cols>
    <col min="1" max="1" width="6.453125" style="1" customWidth="1"/>
    <col min="2" max="2" width="24.7265625" style="1" customWidth="1"/>
    <col min="3" max="3" width="10" style="1" bestFit="1" customWidth="1"/>
    <col min="4" max="4" width="8.7265625" style="1" bestFit="1" customWidth="1"/>
    <col min="5" max="5" width="6.26953125" style="1" customWidth="1"/>
    <col min="6" max="6" width="6.54296875" style="1" customWidth="1"/>
    <col min="7" max="7" width="6" style="1" customWidth="1"/>
    <col min="8" max="8" width="5.7265625" style="1" bestFit="1" customWidth="1"/>
    <col min="9" max="9" width="21" style="1" bestFit="1" customWidth="1"/>
    <col min="10" max="10" width="10" style="1" bestFit="1" customWidth="1"/>
    <col min="11" max="11" width="8.7265625" style="1" bestFit="1" customWidth="1"/>
    <col min="12" max="12" width="4.453125" style="1" customWidth="1"/>
    <col min="13" max="13" width="4" style="1" customWidth="1"/>
    <col min="14" max="14" width="4.81640625" style="1" customWidth="1"/>
    <col min="15" max="15" width="24.26953125" style="1" bestFit="1" customWidth="1"/>
    <col min="16" max="16" width="10" style="1" bestFit="1" customWidth="1"/>
    <col min="17" max="17" width="8.7265625" style="1" bestFit="1" customWidth="1"/>
    <col min="18" max="18" width="13.26953125" style="1" bestFit="1" customWidth="1"/>
    <col min="19" max="19" width="5.1796875" style="1" customWidth="1"/>
    <col min="20" max="20" width="24.7265625" style="1" bestFit="1" customWidth="1"/>
    <col min="21" max="21" width="14" style="1" bestFit="1" customWidth="1"/>
    <col min="22" max="22" width="14.26953125" style="1" bestFit="1" customWidth="1"/>
    <col min="23" max="16384" width="11.453125" style="1"/>
  </cols>
  <sheetData>
    <row r="2" spans="1:22" ht="39" customHeight="1" x14ac:dyDescent="0.2">
      <c r="B2" s="849" t="s">
        <v>67</v>
      </c>
      <c r="C2" s="849"/>
      <c r="D2" s="849"/>
      <c r="E2" s="849"/>
      <c r="F2" s="849"/>
      <c r="G2" s="849"/>
      <c r="H2" s="849"/>
      <c r="I2" s="849"/>
      <c r="J2" s="849"/>
      <c r="K2" s="849"/>
      <c r="L2" s="849"/>
      <c r="M2" s="849"/>
      <c r="N2" s="849"/>
      <c r="O2" s="849"/>
      <c r="P2" s="849"/>
      <c r="Q2" s="849"/>
      <c r="R2" s="265"/>
    </row>
    <row r="4" spans="1:22" x14ac:dyDescent="0.2">
      <c r="B4" s="282" t="s">
        <v>343</v>
      </c>
      <c r="C4" s="76">
        <f>COUNTA(B7:B46)</f>
        <v>14</v>
      </c>
      <c r="I4" s="282" t="s">
        <v>343</v>
      </c>
      <c r="J4" s="76">
        <f>COUNTA(I7:I46)</f>
        <v>14</v>
      </c>
      <c r="O4" s="5" t="s">
        <v>337</v>
      </c>
      <c r="P4" s="63">
        <f>COUNTA(O7:O60)</f>
        <v>12</v>
      </c>
      <c r="T4" s="282" t="s">
        <v>343</v>
      </c>
      <c r="U4" s="76">
        <f>COUNTA(T7:T46)</f>
        <v>14</v>
      </c>
    </row>
    <row r="5" spans="1:22" x14ac:dyDescent="0.2">
      <c r="B5" s="110" t="str">
        <f>"TDAntenna!B7:B"&amp;6+C4</f>
        <v>TDAntenna!B7:B20</v>
      </c>
      <c r="C5" s="851" t="str">
        <f>"TDAntenna!C7:D"&amp;6+C4</f>
        <v>TDAntenna!C7:D20</v>
      </c>
      <c r="D5" s="851"/>
      <c r="I5" s="110" t="str">
        <f>"TDAntenna!I7:I"&amp;6+J4</f>
        <v>TDAntenna!I7:I20</v>
      </c>
      <c r="J5" s="851" t="str">
        <f>"TDAntenna!J7:K"&amp;6+J4</f>
        <v>TDAntenna!J7:K20</v>
      </c>
      <c r="K5" s="851"/>
      <c r="O5" s="79" t="str">
        <f>"O7:O"&amp;6+P4</f>
        <v>O7:O18</v>
      </c>
      <c r="P5" s="283" t="str">
        <f>"P7:P"&amp;6+P4</f>
        <v>P7:P18</v>
      </c>
      <c r="Q5" s="283" t="str">
        <f>"Q7:Q"&amp;6+P4</f>
        <v>Q7:Q18</v>
      </c>
      <c r="R5" s="76" t="str">
        <f>"R7:R"&amp;6+P4</f>
        <v>R7:R18</v>
      </c>
      <c r="T5" s="110" t="str">
        <f>"TDAntenna!T7:T"&amp;6+J4</f>
        <v>TDAntenna!T7:T20</v>
      </c>
      <c r="U5" s="110" t="str">
        <f>"TDAntenna!U7:U"&amp;6+J4</f>
        <v>TDAntenna!U7:U20</v>
      </c>
      <c r="V5" s="110" t="str">
        <f>"TDAntenna!V7:V"&amp;6+J4</f>
        <v>TDAntenna!V7:V20</v>
      </c>
    </row>
    <row r="6" spans="1:22" ht="10.5" x14ac:dyDescent="0.25">
      <c r="A6" s="231" t="s">
        <v>47</v>
      </c>
      <c r="B6" s="18" t="s">
        <v>19</v>
      </c>
      <c r="C6" s="18" t="s">
        <v>3</v>
      </c>
      <c r="D6" s="18" t="s">
        <v>4</v>
      </c>
      <c r="F6" s="75"/>
      <c r="H6" s="231" t="s">
        <v>53</v>
      </c>
      <c r="I6" s="18" t="s">
        <v>19</v>
      </c>
      <c r="J6" s="18" t="s">
        <v>3</v>
      </c>
      <c r="K6" s="18" t="s">
        <v>4</v>
      </c>
      <c r="O6" s="676" t="s">
        <v>145</v>
      </c>
      <c r="P6" s="18" t="s">
        <v>3</v>
      </c>
      <c r="Q6" s="18" t="s">
        <v>4</v>
      </c>
      <c r="R6" s="18" t="s">
        <v>309</v>
      </c>
      <c r="T6" s="75" t="s">
        <v>309</v>
      </c>
      <c r="U6" s="24" t="s">
        <v>47</v>
      </c>
      <c r="V6" s="1" t="s">
        <v>53</v>
      </c>
    </row>
    <row r="7" spans="1:22" x14ac:dyDescent="0.2">
      <c r="B7" s="230" t="str">
        <f>LanguageTable!B3</f>
        <v>Other antenna</v>
      </c>
      <c r="C7" s="355">
        <f>UserInterface!E21</f>
        <v>18</v>
      </c>
      <c r="D7" s="356">
        <f>UserInterface!E21</f>
        <v>18</v>
      </c>
      <c r="I7" s="230" t="str">
        <f>LanguageTable!B3</f>
        <v>Other antenna</v>
      </c>
      <c r="J7" s="355">
        <f>UserInterface!K21</f>
        <v>18</v>
      </c>
      <c r="K7" s="356">
        <f>UserInterface!K21</f>
        <v>18</v>
      </c>
      <c r="O7" s="21" t="s">
        <v>674</v>
      </c>
      <c r="P7" s="96">
        <v>3</v>
      </c>
      <c r="Q7" s="96">
        <v>3</v>
      </c>
      <c r="R7" s="94">
        <v>4</v>
      </c>
      <c r="T7" s="230" t="str">
        <f>LanguageTable!B3</f>
        <v>Other antenna</v>
      </c>
      <c r="U7" s="96">
        <v>2</v>
      </c>
      <c r="V7" s="94">
        <v>2</v>
      </c>
    </row>
    <row r="8" spans="1:22" x14ac:dyDescent="0.2">
      <c r="B8" s="148" t="str">
        <f>LanguageTable!B2</f>
        <v>Default antenna</v>
      </c>
      <c r="C8" s="65">
        <f ca="1">INDEX(INDIRECT(P5),MATCH(SelectionTables!H4,INDIRECT(O5),0))</f>
        <v>3</v>
      </c>
      <c r="D8" s="66">
        <f ca="1">INDEX(INDIRECT(Q5),MATCH(SelectionTables!H4,INDIRECT(O5),0))</f>
        <v>3</v>
      </c>
      <c r="F8" s="24"/>
      <c r="I8" s="148" t="str">
        <f>LanguageTable!B2</f>
        <v>Default antenna</v>
      </c>
      <c r="J8" s="65">
        <f ca="1">INDEX(INDIRECT(P5),MATCH(SelectionTables!S4,INDIRECT(O5),0))</f>
        <v>3</v>
      </c>
      <c r="K8" s="66">
        <f ca="1">INDEX(INDIRECT(Q5),MATCH(SelectionTables!S4,INDIRECT(O5),0))</f>
        <v>3</v>
      </c>
      <c r="O8" s="21" t="s">
        <v>678</v>
      </c>
      <c r="P8" s="24">
        <v>8</v>
      </c>
      <c r="Q8" s="24">
        <v>8</v>
      </c>
      <c r="R8" s="95">
        <v>4</v>
      </c>
      <c r="T8" s="148" t="str">
        <f>LanguageTable!B2</f>
        <v>Default antenna</v>
      </c>
      <c r="U8" s="65">
        <f ca="1">INDEX(INDIRECT(R5),MATCH(SelectionTables!H4,INDIRECT(O5),0))</f>
        <v>4</v>
      </c>
      <c r="V8" s="66">
        <f ca="1">INDEX(INDIRECT(R5),MATCH(SelectionTables!S4,INDIRECT(O5),0))</f>
        <v>4</v>
      </c>
    </row>
    <row r="9" spans="1:22" x14ac:dyDescent="0.2">
      <c r="B9" s="6" t="s">
        <v>676</v>
      </c>
      <c r="C9" s="116"/>
      <c r="D9" s="117">
        <v>23</v>
      </c>
      <c r="F9" s="24"/>
      <c r="I9" s="6" t="s">
        <v>676</v>
      </c>
      <c r="J9" s="116"/>
      <c r="K9" s="117">
        <v>23</v>
      </c>
      <c r="O9" s="21" t="s">
        <v>502</v>
      </c>
      <c r="P9" s="24">
        <v>3</v>
      </c>
      <c r="Q9" s="24">
        <v>3</v>
      </c>
      <c r="R9" s="95">
        <v>2</v>
      </c>
      <c r="T9" s="6" t="s">
        <v>676</v>
      </c>
      <c r="U9" s="24">
        <v>1</v>
      </c>
      <c r="V9" s="10">
        <f>U9</f>
        <v>1</v>
      </c>
    </row>
    <row r="10" spans="1:22" x14ac:dyDescent="0.2">
      <c r="B10" s="6" t="s">
        <v>687</v>
      </c>
      <c r="C10" s="2"/>
      <c r="D10" s="10">
        <v>23</v>
      </c>
      <c r="F10" s="24"/>
      <c r="I10" s="6" t="s">
        <v>687</v>
      </c>
      <c r="J10" s="2"/>
      <c r="K10" s="10">
        <v>23</v>
      </c>
      <c r="O10" s="21" t="s">
        <v>501</v>
      </c>
      <c r="P10" s="24">
        <v>3</v>
      </c>
      <c r="Q10" s="24">
        <v>3</v>
      </c>
      <c r="R10" s="95">
        <v>2</v>
      </c>
      <c r="T10" s="459" t="s">
        <v>687</v>
      </c>
      <c r="U10" s="24">
        <v>2</v>
      </c>
      <c r="V10" s="10">
        <v>2</v>
      </c>
    </row>
    <row r="11" spans="1:22" x14ac:dyDescent="0.2">
      <c r="B11" s="6" t="s">
        <v>679</v>
      </c>
      <c r="C11" s="118">
        <v>6</v>
      </c>
      <c r="D11" s="117">
        <v>7</v>
      </c>
      <c r="F11" s="24"/>
      <c r="I11" s="6" t="s">
        <v>679</v>
      </c>
      <c r="J11" s="118">
        <v>6</v>
      </c>
      <c r="K11" s="117">
        <v>7</v>
      </c>
      <c r="O11" s="21" t="s">
        <v>503</v>
      </c>
      <c r="P11" s="24">
        <v>11</v>
      </c>
      <c r="Q11" s="24">
        <v>8</v>
      </c>
      <c r="R11" s="95">
        <v>2</v>
      </c>
      <c r="T11" s="6" t="s">
        <v>679</v>
      </c>
      <c r="U11" s="24">
        <v>1</v>
      </c>
      <c r="V11" s="10">
        <f t="shared" ref="V11" si="0">U11</f>
        <v>1</v>
      </c>
    </row>
    <row r="12" spans="1:22" x14ac:dyDescent="0.2">
      <c r="B12" s="6" t="s">
        <v>600</v>
      </c>
      <c r="C12" s="2">
        <v>8</v>
      </c>
      <c r="D12" s="10">
        <v>8</v>
      </c>
      <c r="F12" s="24"/>
      <c r="I12" s="6" t="s">
        <v>600</v>
      </c>
      <c r="J12" s="2">
        <v>8</v>
      </c>
      <c r="K12" s="10">
        <v>8</v>
      </c>
      <c r="O12" s="21" t="s">
        <v>677</v>
      </c>
      <c r="P12" s="24">
        <v>3</v>
      </c>
      <c r="Q12" s="24">
        <v>3</v>
      </c>
      <c r="R12" s="95">
        <v>4</v>
      </c>
      <c r="T12" s="6" t="s">
        <v>600</v>
      </c>
      <c r="U12" s="24">
        <v>3</v>
      </c>
      <c r="V12" s="10">
        <v>3</v>
      </c>
    </row>
    <row r="13" spans="1:22" x14ac:dyDescent="0.2">
      <c r="B13" s="6" t="s">
        <v>601</v>
      </c>
      <c r="C13" s="2">
        <v>6</v>
      </c>
      <c r="D13" s="10">
        <v>5</v>
      </c>
      <c r="F13" s="24"/>
      <c r="I13" s="6" t="s">
        <v>601</v>
      </c>
      <c r="J13" s="2">
        <v>6</v>
      </c>
      <c r="K13" s="10">
        <v>5</v>
      </c>
      <c r="O13" s="21" t="s">
        <v>505</v>
      </c>
      <c r="P13" s="24">
        <v>3</v>
      </c>
      <c r="Q13" s="24">
        <v>3</v>
      </c>
      <c r="R13" s="95">
        <v>2</v>
      </c>
      <c r="T13" s="6" t="s">
        <v>601</v>
      </c>
      <c r="U13" s="24">
        <v>3</v>
      </c>
      <c r="V13" s="10">
        <v>3</v>
      </c>
    </row>
    <row r="14" spans="1:22" x14ac:dyDescent="0.2">
      <c r="B14" s="459" t="s">
        <v>675</v>
      </c>
      <c r="C14" s="2">
        <v>4</v>
      </c>
      <c r="D14" s="10">
        <v>4</v>
      </c>
      <c r="F14" s="24"/>
      <c r="I14" s="459" t="s">
        <v>675</v>
      </c>
      <c r="J14" s="2">
        <v>4</v>
      </c>
      <c r="K14" s="10">
        <v>4</v>
      </c>
      <c r="O14" s="21" t="s">
        <v>605</v>
      </c>
      <c r="P14" s="24">
        <v>3</v>
      </c>
      <c r="Q14" s="24">
        <v>3</v>
      </c>
      <c r="R14" s="95">
        <v>2</v>
      </c>
      <c r="T14" s="459" t="s">
        <v>675</v>
      </c>
      <c r="U14" s="24">
        <v>3</v>
      </c>
      <c r="V14" s="10">
        <v>3</v>
      </c>
    </row>
    <row r="15" spans="1:22" x14ac:dyDescent="0.2">
      <c r="B15" s="459" t="s">
        <v>680</v>
      </c>
      <c r="C15" s="2">
        <v>6</v>
      </c>
      <c r="D15" s="10">
        <v>5</v>
      </c>
      <c r="F15" s="24"/>
      <c r="I15" s="459" t="s">
        <v>680</v>
      </c>
      <c r="J15" s="2">
        <v>6</v>
      </c>
      <c r="K15" s="10">
        <v>5</v>
      </c>
      <c r="O15" s="21" t="s">
        <v>406</v>
      </c>
      <c r="P15" s="24">
        <v>3</v>
      </c>
      <c r="Q15" s="24">
        <v>3</v>
      </c>
      <c r="R15" s="95">
        <v>2</v>
      </c>
      <c r="T15" s="459" t="s">
        <v>680</v>
      </c>
      <c r="U15" s="24">
        <v>4</v>
      </c>
      <c r="V15" s="10">
        <v>4</v>
      </c>
    </row>
    <row r="16" spans="1:22" x14ac:dyDescent="0.2">
      <c r="B16" s="459" t="s">
        <v>681</v>
      </c>
      <c r="C16" s="2">
        <v>6.5</v>
      </c>
      <c r="D16" s="10">
        <v>7.5</v>
      </c>
      <c r="I16" s="459" t="s">
        <v>681</v>
      </c>
      <c r="J16" s="2">
        <v>6.5</v>
      </c>
      <c r="K16" s="10">
        <v>7.5</v>
      </c>
      <c r="O16" s="21" t="s">
        <v>405</v>
      </c>
      <c r="P16" s="24">
        <v>3</v>
      </c>
      <c r="Q16" s="24">
        <v>3</v>
      </c>
      <c r="R16" s="95">
        <v>2</v>
      </c>
      <c r="T16" s="459" t="s">
        <v>681</v>
      </c>
      <c r="U16" s="24">
        <v>4</v>
      </c>
      <c r="V16" s="10">
        <v>4</v>
      </c>
    </row>
    <row r="17" spans="2:22" x14ac:dyDescent="0.2">
      <c r="B17" s="459" t="s">
        <v>682</v>
      </c>
      <c r="C17" s="2">
        <v>5</v>
      </c>
      <c r="D17" s="10">
        <v>7</v>
      </c>
      <c r="I17" s="459" t="s">
        <v>682</v>
      </c>
      <c r="J17" s="2">
        <v>5</v>
      </c>
      <c r="K17" s="10">
        <v>7</v>
      </c>
      <c r="O17" s="21" t="s">
        <v>607</v>
      </c>
      <c r="P17" s="24">
        <v>3</v>
      </c>
      <c r="Q17" s="24">
        <v>3</v>
      </c>
      <c r="R17" s="95">
        <v>2</v>
      </c>
      <c r="T17" s="459" t="s">
        <v>682</v>
      </c>
      <c r="U17" s="24">
        <v>4</v>
      </c>
      <c r="V17" s="10">
        <v>4</v>
      </c>
    </row>
    <row r="18" spans="2:22" x14ac:dyDescent="0.2">
      <c r="B18" s="1" t="s">
        <v>726</v>
      </c>
      <c r="C18" s="1">
        <v>7</v>
      </c>
      <c r="D18" s="1">
        <v>7</v>
      </c>
      <c r="I18" s="1" t="s">
        <v>726</v>
      </c>
      <c r="J18" s="1">
        <v>7</v>
      </c>
      <c r="K18" s="1">
        <v>7</v>
      </c>
      <c r="O18" s="21" t="s">
        <v>606</v>
      </c>
      <c r="P18" s="24">
        <v>3</v>
      </c>
      <c r="Q18" s="24">
        <v>3</v>
      </c>
      <c r="R18" s="95">
        <v>2</v>
      </c>
      <c r="T18" s="1" t="s">
        <v>726</v>
      </c>
      <c r="U18" s="1">
        <v>4</v>
      </c>
      <c r="V18" s="1">
        <v>4</v>
      </c>
    </row>
    <row r="19" spans="2:22" x14ac:dyDescent="0.2">
      <c r="B19" s="459" t="s">
        <v>727</v>
      </c>
      <c r="C19" s="2">
        <v>6</v>
      </c>
      <c r="D19" s="10">
        <v>6</v>
      </c>
      <c r="I19" s="459" t="s">
        <v>727</v>
      </c>
      <c r="J19" s="2">
        <v>6</v>
      </c>
      <c r="K19" s="10">
        <v>6</v>
      </c>
      <c r="O19" s="39"/>
      <c r="P19" s="24"/>
      <c r="Q19" s="24"/>
      <c r="R19" s="95"/>
      <c r="T19" s="459" t="s">
        <v>727</v>
      </c>
      <c r="U19" s="2">
        <v>4</v>
      </c>
      <c r="V19" s="10">
        <v>4</v>
      </c>
    </row>
    <row r="20" spans="2:22" x14ac:dyDescent="0.2">
      <c r="B20" s="459" t="s">
        <v>697</v>
      </c>
      <c r="C20" s="2">
        <v>18</v>
      </c>
      <c r="D20" s="10">
        <v>18</v>
      </c>
      <c r="I20" s="459" t="s">
        <v>697</v>
      </c>
      <c r="J20" s="2">
        <v>18</v>
      </c>
      <c r="K20" s="10">
        <v>18</v>
      </c>
      <c r="O20" s="39"/>
      <c r="P20" s="24"/>
      <c r="Q20" s="24"/>
      <c r="R20" s="95"/>
      <c r="T20" s="6" t="s">
        <v>697</v>
      </c>
      <c r="U20" s="2">
        <v>2</v>
      </c>
      <c r="V20" s="10">
        <v>2</v>
      </c>
    </row>
    <row r="21" spans="2:22" x14ac:dyDescent="0.2">
      <c r="B21" s="459"/>
      <c r="C21" s="2"/>
      <c r="D21" s="10"/>
      <c r="I21" s="459"/>
      <c r="J21" s="2"/>
      <c r="K21" s="10"/>
      <c r="O21" s="39"/>
      <c r="P21" s="24"/>
      <c r="Q21" s="24"/>
      <c r="R21" s="95"/>
      <c r="T21" s="459"/>
      <c r="U21" s="2"/>
      <c r="V21" s="10"/>
    </row>
    <row r="22" spans="2:22" x14ac:dyDescent="0.2">
      <c r="B22" s="459"/>
      <c r="C22" s="2"/>
      <c r="D22" s="10"/>
      <c r="I22" s="459"/>
      <c r="J22" s="2"/>
      <c r="K22" s="10"/>
      <c r="O22" s="39"/>
      <c r="P22" s="24"/>
      <c r="Q22" s="24"/>
      <c r="R22" s="95"/>
      <c r="T22" s="459"/>
      <c r="U22" s="2"/>
      <c r="V22" s="10"/>
    </row>
    <row r="23" spans="2:22" x14ac:dyDescent="0.2">
      <c r="B23" s="6"/>
      <c r="C23" s="2"/>
      <c r="D23" s="10"/>
      <c r="I23" s="6"/>
      <c r="J23" s="2"/>
      <c r="K23" s="10"/>
      <c r="O23" s="21"/>
      <c r="P23" s="24"/>
      <c r="Q23" s="24"/>
      <c r="R23" s="95"/>
      <c r="T23" s="6"/>
      <c r="U23" s="2"/>
      <c r="V23" s="10"/>
    </row>
    <row r="24" spans="2:22" x14ac:dyDescent="0.2">
      <c r="B24" s="6"/>
      <c r="C24" s="2"/>
      <c r="D24" s="10"/>
      <c r="I24" s="6"/>
      <c r="J24" s="2"/>
      <c r="K24" s="10"/>
      <c r="O24" s="21"/>
      <c r="P24" s="24"/>
      <c r="Q24" s="24"/>
      <c r="R24" s="95"/>
      <c r="T24" s="6"/>
      <c r="U24" s="2"/>
      <c r="V24" s="10"/>
    </row>
    <row r="25" spans="2:22" x14ac:dyDescent="0.2">
      <c r="B25" s="6"/>
      <c r="C25" s="2"/>
      <c r="D25" s="10"/>
      <c r="I25" s="6"/>
      <c r="J25" s="2"/>
      <c r="K25" s="10"/>
      <c r="O25" s="21"/>
      <c r="P25" s="24"/>
      <c r="Q25" s="24"/>
      <c r="R25" s="95"/>
      <c r="T25" s="6"/>
      <c r="U25" s="2"/>
      <c r="V25" s="10"/>
    </row>
    <row r="26" spans="2:22" x14ac:dyDescent="0.2">
      <c r="B26" s="6"/>
      <c r="C26" s="2"/>
      <c r="D26" s="10"/>
      <c r="I26" s="6"/>
      <c r="J26" s="2"/>
      <c r="K26" s="10"/>
      <c r="O26" s="6"/>
      <c r="P26" s="2"/>
      <c r="Q26" s="2"/>
      <c r="R26" s="10"/>
      <c r="T26" s="6"/>
      <c r="U26" s="2"/>
      <c r="V26" s="10"/>
    </row>
    <row r="27" spans="2:22" x14ac:dyDescent="0.2">
      <c r="B27" s="6"/>
      <c r="C27" s="2"/>
      <c r="D27" s="10"/>
      <c r="I27" s="6"/>
      <c r="J27" s="2"/>
      <c r="K27" s="10"/>
      <c r="O27" s="6"/>
      <c r="P27" s="2"/>
      <c r="Q27" s="2"/>
      <c r="R27" s="10"/>
      <c r="T27" s="6"/>
      <c r="U27" s="2"/>
      <c r="V27" s="10"/>
    </row>
    <row r="28" spans="2:22" x14ac:dyDescent="0.2">
      <c r="B28" s="6"/>
      <c r="C28" s="2"/>
      <c r="D28" s="10"/>
      <c r="I28" s="6"/>
      <c r="J28" s="2"/>
      <c r="K28" s="10"/>
      <c r="O28" s="6"/>
      <c r="P28" s="2"/>
      <c r="Q28" s="2"/>
      <c r="R28" s="10"/>
      <c r="T28" s="6"/>
      <c r="U28" s="2"/>
      <c r="V28" s="10"/>
    </row>
    <row r="29" spans="2:22" x14ac:dyDescent="0.2">
      <c r="B29" s="6"/>
      <c r="C29" s="2"/>
      <c r="D29" s="10"/>
      <c r="I29" s="6"/>
      <c r="J29" s="2"/>
      <c r="K29" s="10"/>
      <c r="O29" s="6"/>
      <c r="P29" s="2"/>
      <c r="Q29" s="2"/>
      <c r="R29" s="10"/>
      <c r="T29" s="6"/>
      <c r="U29" s="2"/>
      <c r="V29" s="10"/>
    </row>
    <row r="30" spans="2:22" x14ac:dyDescent="0.2">
      <c r="B30" s="6"/>
      <c r="C30" s="2"/>
      <c r="D30" s="10"/>
      <c r="I30" s="6"/>
      <c r="J30" s="2"/>
      <c r="K30" s="10"/>
      <c r="O30" s="6"/>
      <c r="P30" s="2"/>
      <c r="Q30" s="2"/>
      <c r="R30" s="10"/>
      <c r="T30" s="6"/>
      <c r="U30" s="2"/>
      <c r="V30" s="10"/>
    </row>
    <row r="31" spans="2:22" x14ac:dyDescent="0.2">
      <c r="B31" s="6"/>
      <c r="C31" s="2"/>
      <c r="D31" s="10"/>
      <c r="I31" s="6"/>
      <c r="J31" s="2"/>
      <c r="K31" s="10"/>
      <c r="O31" s="6"/>
      <c r="P31" s="2"/>
      <c r="Q31" s="2"/>
      <c r="R31" s="10"/>
      <c r="T31" s="6"/>
      <c r="U31" s="2"/>
      <c r="V31" s="10"/>
    </row>
    <row r="32" spans="2:22" x14ac:dyDescent="0.2">
      <c r="B32" s="6"/>
      <c r="C32" s="2"/>
      <c r="D32" s="10"/>
      <c r="I32" s="6"/>
      <c r="J32" s="2"/>
      <c r="K32" s="10"/>
      <c r="O32" s="6"/>
      <c r="P32" s="2"/>
      <c r="Q32" s="2"/>
      <c r="R32" s="10"/>
      <c r="T32" s="6"/>
      <c r="U32" s="2"/>
      <c r="V32" s="10"/>
    </row>
    <row r="33" spans="2:22" x14ac:dyDescent="0.2">
      <c r="B33" s="6"/>
      <c r="C33" s="2"/>
      <c r="D33" s="10"/>
      <c r="I33" s="6"/>
      <c r="J33" s="2"/>
      <c r="K33" s="10"/>
      <c r="O33" s="6"/>
      <c r="P33" s="2"/>
      <c r="Q33" s="2"/>
      <c r="R33" s="10"/>
      <c r="T33" s="6"/>
      <c r="U33" s="2"/>
      <c r="V33" s="10"/>
    </row>
    <row r="34" spans="2:22" x14ac:dyDescent="0.2">
      <c r="B34" s="6"/>
      <c r="C34" s="2"/>
      <c r="D34" s="10"/>
      <c r="I34" s="6"/>
      <c r="J34" s="2"/>
      <c r="K34" s="10"/>
      <c r="O34" s="21"/>
      <c r="P34" s="2"/>
      <c r="Q34" s="2"/>
      <c r="R34" s="10"/>
      <c r="T34" s="6"/>
      <c r="U34" s="2"/>
      <c r="V34" s="10"/>
    </row>
    <row r="35" spans="2:22" x14ac:dyDescent="0.2">
      <c r="B35" s="6"/>
      <c r="C35" s="2"/>
      <c r="D35" s="10"/>
      <c r="I35" s="6"/>
      <c r="J35" s="2"/>
      <c r="K35" s="10"/>
      <c r="O35" s="21"/>
      <c r="P35" s="2"/>
      <c r="Q35" s="2"/>
      <c r="R35" s="10"/>
      <c r="T35" s="6"/>
      <c r="U35" s="2"/>
      <c r="V35" s="10"/>
    </row>
    <row r="36" spans="2:22" x14ac:dyDescent="0.2">
      <c r="B36" s="6"/>
      <c r="C36" s="2"/>
      <c r="D36" s="10"/>
      <c r="I36" s="6"/>
      <c r="J36" s="2"/>
      <c r="K36" s="10"/>
      <c r="O36" s="21"/>
      <c r="P36" s="2"/>
      <c r="Q36" s="2"/>
      <c r="R36" s="10"/>
      <c r="T36" s="6"/>
      <c r="U36" s="2"/>
      <c r="V36" s="10"/>
    </row>
    <row r="37" spans="2:22" x14ac:dyDescent="0.2">
      <c r="B37" s="6"/>
      <c r="C37" s="2"/>
      <c r="D37" s="10"/>
      <c r="I37" s="6"/>
      <c r="J37" s="2"/>
      <c r="K37" s="10"/>
      <c r="O37" s="21"/>
      <c r="P37" s="2"/>
      <c r="Q37" s="2"/>
      <c r="R37" s="10"/>
      <c r="T37" s="6"/>
      <c r="U37" s="2"/>
      <c r="V37" s="10"/>
    </row>
    <row r="38" spans="2:22" x14ac:dyDescent="0.2">
      <c r="B38" s="6"/>
      <c r="C38" s="2"/>
      <c r="D38" s="10"/>
      <c r="I38" s="6"/>
      <c r="J38" s="2"/>
      <c r="K38" s="10"/>
      <c r="O38" s="21"/>
      <c r="P38" s="2"/>
      <c r="Q38" s="2"/>
      <c r="R38" s="10"/>
      <c r="T38" s="6"/>
      <c r="U38" s="2"/>
      <c r="V38" s="10"/>
    </row>
    <row r="39" spans="2:22" x14ac:dyDescent="0.2">
      <c r="B39" s="6"/>
      <c r="C39" s="2"/>
      <c r="D39" s="10"/>
      <c r="I39" s="6"/>
      <c r="J39" s="2"/>
      <c r="K39" s="10"/>
      <c r="O39" s="21"/>
      <c r="P39" s="2"/>
      <c r="Q39" s="2"/>
      <c r="R39" s="10"/>
      <c r="T39" s="6"/>
      <c r="U39" s="2"/>
      <c r="V39" s="10"/>
    </row>
    <row r="40" spans="2:22" x14ac:dyDescent="0.2">
      <c r="B40" s="6"/>
      <c r="C40" s="2"/>
      <c r="D40" s="10"/>
      <c r="I40" s="6"/>
      <c r="J40" s="2"/>
      <c r="K40" s="10"/>
      <c r="O40" s="21"/>
      <c r="P40" s="2"/>
      <c r="Q40" s="2"/>
      <c r="R40" s="10"/>
      <c r="T40" s="6"/>
      <c r="U40" s="2"/>
      <c r="V40" s="10"/>
    </row>
    <row r="41" spans="2:22" x14ac:dyDescent="0.2">
      <c r="B41" s="6"/>
      <c r="C41" s="2"/>
      <c r="D41" s="10"/>
      <c r="I41" s="6"/>
      <c r="J41" s="2"/>
      <c r="K41" s="10"/>
      <c r="O41" s="459"/>
      <c r="P41" s="2"/>
      <c r="Q41" s="2"/>
      <c r="R41" s="10"/>
      <c r="T41" s="6"/>
      <c r="U41" s="2"/>
      <c r="V41" s="10"/>
    </row>
    <row r="42" spans="2:22" x14ac:dyDescent="0.2">
      <c r="B42" s="6"/>
      <c r="C42" s="2"/>
      <c r="D42" s="10"/>
      <c r="I42" s="6"/>
      <c r="J42" s="2"/>
      <c r="K42" s="95"/>
      <c r="L42" s="2"/>
      <c r="M42" s="2"/>
      <c r="O42" s="459"/>
      <c r="P42" s="2"/>
      <c r="Q42" s="2"/>
      <c r="R42" s="10"/>
      <c r="T42" s="6"/>
      <c r="U42" s="2"/>
      <c r="V42" s="10"/>
    </row>
    <row r="43" spans="2:22" x14ac:dyDescent="0.2">
      <c r="B43" s="6"/>
      <c r="C43" s="2"/>
      <c r="D43" s="10"/>
      <c r="I43" s="6"/>
      <c r="J43" s="2"/>
      <c r="K43" s="95"/>
      <c r="L43" s="2"/>
      <c r="M43" s="2"/>
      <c r="O43" s="459"/>
      <c r="P43" s="2"/>
      <c r="Q43" s="2"/>
      <c r="R43" s="10"/>
      <c r="T43" s="6"/>
      <c r="U43" s="2"/>
      <c r="V43" s="10"/>
    </row>
    <row r="44" spans="2:22" x14ac:dyDescent="0.2">
      <c r="B44" s="6"/>
      <c r="C44" s="2"/>
      <c r="D44" s="10"/>
      <c r="I44" s="6"/>
      <c r="J44" s="2"/>
      <c r="K44" s="95"/>
      <c r="L44" s="2"/>
      <c r="M44" s="2"/>
      <c r="O44" s="459"/>
      <c r="P44" s="2"/>
      <c r="Q44" s="2"/>
      <c r="R44" s="10"/>
      <c r="T44" s="6"/>
      <c r="U44" s="2"/>
      <c r="V44" s="10"/>
    </row>
    <row r="45" spans="2:22" x14ac:dyDescent="0.2">
      <c r="B45" s="6"/>
      <c r="C45" s="2"/>
      <c r="D45" s="10"/>
      <c r="I45" s="6"/>
      <c r="J45" s="2"/>
      <c r="K45" s="95"/>
      <c r="L45" s="2"/>
      <c r="M45" s="2"/>
      <c r="O45" s="459"/>
      <c r="P45" s="2"/>
      <c r="Q45" s="2"/>
      <c r="R45" s="10"/>
      <c r="T45" s="6"/>
      <c r="U45" s="2"/>
      <c r="V45" s="10"/>
    </row>
    <row r="46" spans="2:22" x14ac:dyDescent="0.2">
      <c r="B46" s="7"/>
      <c r="C46" s="8"/>
      <c r="D46" s="11"/>
      <c r="I46" s="7"/>
      <c r="J46" s="8"/>
      <c r="K46" s="11"/>
      <c r="L46" s="2"/>
      <c r="M46" s="2"/>
      <c r="O46" s="459"/>
      <c r="P46" s="2"/>
      <c r="Q46" s="2"/>
      <c r="R46" s="10"/>
      <c r="T46" s="7"/>
      <c r="U46" s="8"/>
      <c r="V46" s="11"/>
    </row>
    <row r="47" spans="2:22" x14ac:dyDescent="0.2">
      <c r="O47" s="459"/>
      <c r="P47" s="2"/>
      <c r="Q47" s="2"/>
      <c r="R47" s="10"/>
    </row>
    <row r="48" spans="2:22" x14ac:dyDescent="0.2">
      <c r="O48" s="459"/>
      <c r="P48" s="2"/>
      <c r="Q48" s="2"/>
      <c r="R48" s="10"/>
    </row>
    <row r="49" spans="15:18" x14ac:dyDescent="0.2">
      <c r="O49" s="459"/>
      <c r="P49" s="2"/>
      <c r="Q49" s="2"/>
      <c r="R49" s="10"/>
    </row>
    <row r="50" spans="15:18" x14ac:dyDescent="0.2">
      <c r="O50" s="6"/>
      <c r="P50" s="2"/>
      <c r="Q50" s="2"/>
      <c r="R50" s="10"/>
    </row>
    <row r="51" spans="15:18" x14ac:dyDescent="0.2">
      <c r="O51" s="6"/>
      <c r="P51" s="2"/>
      <c r="Q51" s="2"/>
      <c r="R51" s="10"/>
    </row>
    <row r="52" spans="15:18" x14ac:dyDescent="0.2">
      <c r="O52" s="6"/>
      <c r="P52" s="2"/>
      <c r="Q52" s="2"/>
      <c r="R52" s="10"/>
    </row>
    <row r="53" spans="15:18" x14ac:dyDescent="0.2">
      <c r="O53" s="6"/>
      <c r="P53" s="2"/>
      <c r="Q53" s="2"/>
      <c r="R53" s="10"/>
    </row>
    <row r="54" spans="15:18" x14ac:dyDescent="0.2">
      <c r="O54" s="6"/>
      <c r="P54" s="2"/>
      <c r="Q54" s="2"/>
      <c r="R54" s="10"/>
    </row>
    <row r="55" spans="15:18" x14ac:dyDescent="0.2">
      <c r="O55" s="459"/>
      <c r="P55" s="2"/>
      <c r="Q55" s="2"/>
      <c r="R55" s="10"/>
    </row>
    <row r="56" spans="15:18" x14ac:dyDescent="0.2">
      <c r="O56" s="459"/>
      <c r="P56" s="2"/>
      <c r="Q56" s="2"/>
      <c r="R56" s="10"/>
    </row>
    <row r="57" spans="15:18" x14ac:dyDescent="0.2">
      <c r="O57" s="6"/>
      <c r="P57" s="2"/>
      <c r="Q57" s="2"/>
      <c r="R57" s="10"/>
    </row>
    <row r="58" spans="15:18" x14ac:dyDescent="0.2">
      <c r="O58" s="6"/>
      <c r="P58" s="2"/>
      <c r="Q58" s="2"/>
      <c r="R58" s="10"/>
    </row>
    <row r="59" spans="15:18" x14ac:dyDescent="0.2">
      <c r="O59" s="6"/>
      <c r="P59" s="2"/>
      <c r="Q59" s="2"/>
      <c r="R59" s="10"/>
    </row>
    <row r="60" spans="15:18" x14ac:dyDescent="0.2">
      <c r="O60" s="6"/>
      <c r="P60" s="2"/>
      <c r="Q60" s="2"/>
      <c r="R60" s="10"/>
    </row>
  </sheetData>
  <mergeCells count="3">
    <mergeCell ref="B2:Q2"/>
    <mergeCell ref="C5:D5"/>
    <mergeCell ref="J5:K5"/>
  </mergeCells>
  <phoneticPr fontId="2" type="noConversion"/>
  <pageMargins left="0.78740157499999996" right="0.78740157499999996" top="0.984251969" bottom="0.984251969" header="0.4921259845" footer="0.492125984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C14"/>
  <sheetViews>
    <sheetView workbookViewId="0">
      <selection activeCell="D2" sqref="D2"/>
    </sheetView>
  </sheetViews>
  <sheetFormatPr baseColWidth="10" defaultColWidth="11.453125" defaultRowHeight="10" x14ac:dyDescent="0.2"/>
  <cols>
    <col min="1" max="1" width="11.453125" style="1"/>
    <col min="2" max="2" width="19.453125" style="1" bestFit="1" customWidth="1"/>
    <col min="3" max="3" width="17.453125" style="1" bestFit="1" customWidth="1"/>
    <col min="4" max="16384" width="11.453125" style="1"/>
  </cols>
  <sheetData>
    <row r="2" spans="2:3" x14ac:dyDescent="0.2">
      <c r="B2" s="282" t="s">
        <v>349</v>
      </c>
      <c r="C2" s="76">
        <f>COUNTA(B5:B14)</f>
        <v>3</v>
      </c>
    </row>
    <row r="3" spans="2:3" x14ac:dyDescent="0.2">
      <c r="B3" s="110" t="str">
        <f>"TDSurgeArrestor!B5:B"&amp;4+C2</f>
        <v>TDSurgeArrestor!B5:B7</v>
      </c>
      <c r="C3" s="110" t="str">
        <f>"TDSurgeArrestor!C5:C"&amp;4+C2</f>
        <v>TDSurgeArrestor!C5:C7</v>
      </c>
    </row>
    <row r="4" spans="2:3" ht="10.5" x14ac:dyDescent="0.25">
      <c r="B4" s="44" t="s">
        <v>20</v>
      </c>
      <c r="C4" s="43" t="s">
        <v>49</v>
      </c>
    </row>
    <row r="5" spans="2:3" x14ac:dyDescent="0.2">
      <c r="B5" s="230" t="str">
        <f>LanguageTable!B6</f>
        <v>No surge arrestor</v>
      </c>
      <c r="C5" s="9">
        <v>0</v>
      </c>
    </row>
    <row r="6" spans="2:3" x14ac:dyDescent="0.2">
      <c r="B6" s="6" t="s">
        <v>240</v>
      </c>
      <c r="C6" s="10">
        <v>0.2</v>
      </c>
    </row>
    <row r="7" spans="2:3" x14ac:dyDescent="0.2">
      <c r="B7" s="6" t="s">
        <v>602</v>
      </c>
      <c r="C7" s="10">
        <v>0.2</v>
      </c>
    </row>
    <row r="8" spans="2:3" x14ac:dyDescent="0.2">
      <c r="B8" s="6"/>
      <c r="C8" s="10"/>
    </row>
    <row r="9" spans="2:3" x14ac:dyDescent="0.2">
      <c r="B9" s="6"/>
      <c r="C9" s="10"/>
    </row>
    <row r="10" spans="2:3" x14ac:dyDescent="0.2">
      <c r="B10" s="6"/>
      <c r="C10" s="10"/>
    </row>
    <row r="11" spans="2:3" x14ac:dyDescent="0.2">
      <c r="B11" s="6"/>
      <c r="C11" s="10"/>
    </row>
    <row r="12" spans="2:3" x14ac:dyDescent="0.2">
      <c r="B12" s="6"/>
      <c r="C12" s="10"/>
    </row>
    <row r="13" spans="2:3" x14ac:dyDescent="0.2">
      <c r="B13" s="6"/>
      <c r="C13" s="10"/>
    </row>
    <row r="14" spans="2:3" x14ac:dyDescent="0.2">
      <c r="B14" s="7"/>
      <c r="C14" s="11"/>
    </row>
  </sheetData>
  <phoneticPr fontId="2"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CX338"/>
  <sheetViews>
    <sheetView topLeftCell="A295" zoomScale="85" zoomScaleNormal="85" workbookViewId="0">
      <selection activeCell="D2" sqref="D2"/>
    </sheetView>
  </sheetViews>
  <sheetFormatPr baseColWidth="10" defaultColWidth="11.453125" defaultRowHeight="10" x14ac:dyDescent="0.2"/>
  <cols>
    <col min="1" max="1" width="2.453125" style="1" customWidth="1"/>
    <col min="2" max="2" width="19.54296875" style="1" bestFit="1" customWidth="1"/>
    <col min="3" max="3" width="21.26953125" style="1" bestFit="1" customWidth="1"/>
    <col min="4" max="4" width="17.54296875" style="1" bestFit="1" customWidth="1"/>
    <col min="5" max="5" width="24.81640625" style="1" bestFit="1" customWidth="1"/>
    <col min="6" max="6" width="10.1796875" style="1" bestFit="1" customWidth="1"/>
    <col min="7" max="8" width="10" style="1" bestFit="1" customWidth="1"/>
    <col min="9" max="9" width="9.26953125" style="1" bestFit="1" customWidth="1"/>
    <col min="10" max="11" width="9.1796875" style="1" bestFit="1" customWidth="1"/>
    <col min="12" max="17" width="9.1796875" style="1" customWidth="1"/>
    <col min="18" max="18" width="10.1796875" style="1" bestFit="1" customWidth="1"/>
    <col min="19" max="20" width="10" style="1" bestFit="1" customWidth="1"/>
    <col min="21" max="21" width="9.26953125" style="1" bestFit="1" customWidth="1"/>
    <col min="22" max="23" width="9.1796875" style="1" bestFit="1" customWidth="1"/>
    <col min="24" max="29" width="9.1796875" style="1" customWidth="1"/>
    <col min="30" max="30" width="9.54296875" style="1" bestFit="1" customWidth="1"/>
    <col min="31" max="32" width="9.453125" style="1" bestFit="1" customWidth="1"/>
    <col min="33" max="33" width="9.54296875" style="1" bestFit="1" customWidth="1"/>
    <col min="34" max="35" width="9.453125" style="1" bestFit="1" customWidth="1"/>
    <col min="36" max="41" width="9.453125" style="1" customWidth="1"/>
    <col min="42" max="42" width="9.54296875" style="1" bestFit="1" customWidth="1"/>
    <col min="43" max="44" width="9.453125" style="1" bestFit="1" customWidth="1"/>
    <col min="45" max="45" width="9.54296875" style="1" bestFit="1" customWidth="1"/>
    <col min="46" max="47" width="9.453125" style="1" bestFit="1" customWidth="1"/>
    <col min="48" max="53" width="9.453125" style="1" customWidth="1"/>
    <col min="54" max="16384" width="11.453125" style="1"/>
  </cols>
  <sheetData>
    <row r="1" spans="2:102" x14ac:dyDescent="0.2">
      <c r="B1" s="110" t="str">
        <f>"TDWLANModule!B3:B"&amp;2+ProductTable!W2</f>
        <v>TDWLANModule!B3:B26</v>
      </c>
      <c r="C1" s="110" t="str">
        <f>"TDWLANModule!C3:C"&amp;2+ProductTable!W2</f>
        <v>TDWLANModule!C3:C26</v>
      </c>
      <c r="D1" s="110" t="str">
        <f>"TDWLANModule!D3:D"&amp;2+ProductTable!W2</f>
        <v>TDWLANModule!D3:D26</v>
      </c>
      <c r="F1" s="854" t="s">
        <v>519</v>
      </c>
      <c r="G1" s="854"/>
      <c r="H1" s="854"/>
      <c r="I1" s="855" t="s">
        <v>520</v>
      </c>
      <c r="J1" s="855"/>
      <c r="K1" s="855"/>
      <c r="L1" s="466"/>
      <c r="M1" s="466"/>
      <c r="N1" s="466"/>
      <c r="O1" s="466"/>
      <c r="P1" s="466"/>
      <c r="Q1" s="466"/>
      <c r="R1" s="854" t="s">
        <v>519</v>
      </c>
      <c r="S1" s="854"/>
      <c r="T1" s="854"/>
      <c r="U1" s="855" t="s">
        <v>520</v>
      </c>
      <c r="V1" s="855"/>
      <c r="W1" s="855"/>
      <c r="X1" s="856" t="s">
        <v>521</v>
      </c>
      <c r="Y1" s="856"/>
      <c r="Z1" s="856"/>
      <c r="AA1" s="857" t="s">
        <v>620</v>
      </c>
      <c r="AB1" s="857"/>
      <c r="AC1" s="857"/>
      <c r="AD1" s="854" t="s">
        <v>519</v>
      </c>
      <c r="AE1" s="854"/>
      <c r="AF1" s="854"/>
      <c r="AG1" s="855" t="s">
        <v>520</v>
      </c>
      <c r="AH1" s="855"/>
      <c r="AI1" s="855"/>
      <c r="AJ1" s="856" t="s">
        <v>521</v>
      </c>
      <c r="AK1" s="856"/>
      <c r="AL1" s="856"/>
      <c r="AM1" s="857" t="s">
        <v>522</v>
      </c>
      <c r="AN1" s="857"/>
      <c r="AO1" s="857"/>
      <c r="AP1" s="854" t="s">
        <v>519</v>
      </c>
      <c r="AQ1" s="854"/>
      <c r="AR1" s="854"/>
      <c r="AS1" s="855" t="s">
        <v>520</v>
      </c>
      <c r="AT1" s="855"/>
      <c r="AU1" s="855"/>
      <c r="AV1" s="856" t="s">
        <v>521</v>
      </c>
      <c r="AW1" s="856"/>
      <c r="AX1" s="856"/>
      <c r="AY1" s="857" t="s">
        <v>522</v>
      </c>
      <c r="AZ1" s="857"/>
      <c r="BA1" s="857"/>
      <c r="BB1" s="854" t="s">
        <v>519</v>
      </c>
      <c r="BC1" s="854"/>
      <c r="BD1" s="854"/>
      <c r="BE1" s="855" t="s">
        <v>520</v>
      </c>
      <c r="BF1" s="855"/>
      <c r="BG1" s="855"/>
      <c r="BH1" s="856" t="s">
        <v>521</v>
      </c>
      <c r="BI1" s="856"/>
      <c r="BJ1" s="856"/>
      <c r="BK1" s="857" t="s">
        <v>522</v>
      </c>
      <c r="BL1" s="857"/>
      <c r="BM1" s="857"/>
      <c r="BN1" s="854" t="s">
        <v>519</v>
      </c>
      <c r="BO1" s="854"/>
      <c r="BP1" s="854"/>
      <c r="BQ1" s="855" t="s">
        <v>520</v>
      </c>
      <c r="BR1" s="855"/>
      <c r="BS1" s="855"/>
      <c r="BT1" s="856" t="s">
        <v>521</v>
      </c>
      <c r="BU1" s="856"/>
      <c r="BV1" s="856"/>
      <c r="BW1" s="857" t="s">
        <v>522</v>
      </c>
      <c r="BX1" s="857"/>
      <c r="BY1" s="857"/>
      <c r="BZ1" s="854" t="s">
        <v>519</v>
      </c>
      <c r="CA1" s="854"/>
      <c r="CB1" s="854"/>
      <c r="CC1" s="855" t="s">
        <v>520</v>
      </c>
      <c r="CD1" s="855"/>
      <c r="CE1" s="855"/>
      <c r="CF1" s="856" t="s">
        <v>521</v>
      </c>
      <c r="CG1" s="856"/>
      <c r="CH1" s="856"/>
      <c r="CI1" s="857" t="s">
        <v>522</v>
      </c>
      <c r="CJ1" s="857"/>
      <c r="CK1" s="857"/>
    </row>
    <row r="2" spans="2:102" x14ac:dyDescent="0.2">
      <c r="B2" s="8" t="s">
        <v>288</v>
      </c>
      <c r="C2" s="8" t="s">
        <v>139</v>
      </c>
      <c r="D2" s="1" t="s">
        <v>365</v>
      </c>
    </row>
    <row r="3" spans="2:102" ht="10.5" x14ac:dyDescent="0.25">
      <c r="B3" s="71" t="str">
        <f>ProductTable!V7</f>
        <v>Standard module</v>
      </c>
      <c r="C3" s="156" t="str">
        <f>"TDWLANModule!F"&amp;(CT_HELP!$A$6+14*(CT_HELP!A3-3))&amp;":CK"&amp;CT_HELP!$A$16+14*(CT_HELP!A3-3)</f>
        <v>TDWLANModule!F6:CK16</v>
      </c>
      <c r="D3" s="342" t="b">
        <v>0</v>
      </c>
      <c r="E3" s="26" t="s">
        <v>23</v>
      </c>
    </row>
    <row r="4" spans="2:102" ht="10.5" x14ac:dyDescent="0.25">
      <c r="B4" s="232" t="str">
        <f>ProductTable!V8</f>
        <v>AR5414 (XAC/XAP/OAP)</v>
      </c>
      <c r="C4" s="156" t="str">
        <f>"TDWLANModule!F"&amp;(CT_HELP!$A$6+14*(CT_HELP!A4-3))&amp;":CK"&amp;CT_HELP!$A$16+14*(CT_HELP!A4-3)</f>
        <v>TDWLANModule!F20:CK30</v>
      </c>
      <c r="D4" s="106" t="b">
        <v>0</v>
      </c>
      <c r="E4" s="25"/>
      <c r="F4" s="26" t="s">
        <v>0</v>
      </c>
      <c r="G4" s="26"/>
      <c r="H4" s="26"/>
      <c r="I4" s="26"/>
      <c r="J4" s="26"/>
      <c r="K4" s="26"/>
      <c r="L4" s="26"/>
      <c r="M4" s="26"/>
      <c r="N4" s="26"/>
      <c r="O4" s="26"/>
      <c r="P4" s="26"/>
      <c r="Q4" s="26"/>
      <c r="R4" s="26" t="s">
        <v>1</v>
      </c>
      <c r="S4" s="25"/>
      <c r="T4" s="25"/>
      <c r="U4" s="25"/>
      <c r="AD4" s="853" t="s">
        <v>410</v>
      </c>
      <c r="AE4" s="852"/>
      <c r="AF4" s="852"/>
      <c r="AG4" s="852"/>
      <c r="AP4" s="853" t="s">
        <v>411</v>
      </c>
      <c r="AQ4" s="852"/>
      <c r="AR4" s="852"/>
      <c r="AS4" s="852"/>
      <c r="BB4" s="44" t="s">
        <v>223</v>
      </c>
      <c r="BN4" s="44" t="s">
        <v>351</v>
      </c>
      <c r="BZ4" s="44" t="s">
        <v>515</v>
      </c>
      <c r="CF4" s="2"/>
      <c r="CG4" s="2"/>
      <c r="CH4" s="2"/>
      <c r="CI4" s="2"/>
      <c r="CJ4" s="2"/>
      <c r="CK4" s="2"/>
      <c r="CL4" s="2"/>
      <c r="CM4" s="2"/>
      <c r="CN4" s="2"/>
      <c r="CO4" s="2"/>
      <c r="CP4" s="2"/>
      <c r="CQ4" s="2"/>
      <c r="CR4" s="2"/>
      <c r="CS4" s="2"/>
      <c r="CT4" s="2"/>
      <c r="CU4" s="2"/>
      <c r="CV4" s="2"/>
      <c r="CW4" s="2"/>
      <c r="CX4" s="2"/>
    </row>
    <row r="5" spans="2:102" ht="11" thickBot="1" x14ac:dyDescent="0.3">
      <c r="B5" s="232" t="str">
        <f>ProductTable!V9</f>
        <v>AR5212/AR5112</v>
      </c>
      <c r="C5" s="156" t="str">
        <f>"TDWLANModule!F"&amp;(CT_HELP!$A$6+14*(CT_HELP!A5-3))&amp;":CK"&amp;CT_HELP!$A$16+14*(CT_HELP!A5-3)</f>
        <v>TDWLANModule!F34:CK44</v>
      </c>
      <c r="D5" s="106" t="b">
        <v>0</v>
      </c>
      <c r="F5" s="26" t="s">
        <v>113</v>
      </c>
      <c r="G5" s="26" t="s">
        <v>108</v>
      </c>
      <c r="H5" s="26" t="s">
        <v>109</v>
      </c>
      <c r="I5" s="26" t="s">
        <v>110</v>
      </c>
      <c r="J5" s="26" t="s">
        <v>111</v>
      </c>
      <c r="K5" s="26" t="s">
        <v>112</v>
      </c>
      <c r="L5" s="26"/>
      <c r="M5" s="26"/>
      <c r="N5" s="26"/>
      <c r="O5" s="26"/>
      <c r="P5" s="26"/>
      <c r="Q5" s="26"/>
      <c r="R5" s="26" t="s">
        <v>113</v>
      </c>
      <c r="S5" s="159" t="s">
        <v>108</v>
      </c>
      <c r="T5" s="159" t="s">
        <v>109</v>
      </c>
      <c r="U5" s="26" t="s">
        <v>110</v>
      </c>
      <c r="V5" s="26" t="s">
        <v>111</v>
      </c>
      <c r="W5" s="26" t="s">
        <v>112</v>
      </c>
      <c r="X5" s="26"/>
      <c r="Y5" s="26"/>
      <c r="Z5" s="26"/>
      <c r="AA5" s="26"/>
      <c r="AB5" s="26"/>
      <c r="AC5" s="26"/>
      <c r="AD5" s="159" t="s">
        <v>88</v>
      </c>
      <c r="AE5" s="159" t="s">
        <v>83</v>
      </c>
      <c r="AF5" s="159" t="s">
        <v>84</v>
      </c>
      <c r="AG5" s="159" t="s">
        <v>87</v>
      </c>
      <c r="AH5" s="159" t="s">
        <v>85</v>
      </c>
      <c r="AI5" s="159" t="s">
        <v>86</v>
      </c>
      <c r="AJ5" s="159"/>
      <c r="AK5" s="159"/>
      <c r="AL5" s="159"/>
      <c r="AM5" s="159"/>
      <c r="AN5" s="159"/>
      <c r="AO5" s="159"/>
      <c r="AP5" s="159" t="s">
        <v>88</v>
      </c>
      <c r="AQ5" s="159" t="s">
        <v>83</v>
      </c>
      <c r="AR5" s="159" t="s">
        <v>84</v>
      </c>
      <c r="AS5" s="159" t="s">
        <v>87</v>
      </c>
      <c r="AT5" s="159" t="s">
        <v>85</v>
      </c>
      <c r="AU5" s="159" t="s">
        <v>86</v>
      </c>
      <c r="AV5" s="159"/>
      <c r="AW5" s="159"/>
      <c r="AX5" s="159"/>
      <c r="AY5" s="159"/>
      <c r="AZ5" s="159"/>
      <c r="BA5" s="159"/>
      <c r="BB5" s="102" t="s">
        <v>88</v>
      </c>
      <c r="BC5" s="102" t="s">
        <v>83</v>
      </c>
      <c r="BD5" s="102" t="s">
        <v>84</v>
      </c>
      <c r="BE5" s="102" t="s">
        <v>87</v>
      </c>
      <c r="BF5" s="102" t="s">
        <v>85</v>
      </c>
      <c r="BG5" s="102" t="s">
        <v>86</v>
      </c>
      <c r="BH5" s="102"/>
      <c r="BI5" s="102"/>
      <c r="BJ5" s="102"/>
      <c r="BK5" s="102"/>
      <c r="BL5" s="102"/>
      <c r="BM5" s="102"/>
      <c r="BN5" s="102" t="s">
        <v>88</v>
      </c>
      <c r="BO5" s="102" t="s">
        <v>83</v>
      </c>
      <c r="BP5" s="102" t="s">
        <v>84</v>
      </c>
      <c r="BQ5" s="102" t="s">
        <v>87</v>
      </c>
      <c r="BR5" s="102" t="s">
        <v>85</v>
      </c>
      <c r="BS5" s="102" t="s">
        <v>86</v>
      </c>
      <c r="BT5" s="102"/>
      <c r="BU5" s="102"/>
      <c r="BV5" s="102"/>
      <c r="BW5" s="102"/>
      <c r="BX5" s="102"/>
      <c r="BY5" s="102"/>
      <c r="BZ5" s="102" t="s">
        <v>88</v>
      </c>
      <c r="CA5" s="102" t="s">
        <v>83</v>
      </c>
      <c r="CB5" s="102" t="s">
        <v>84</v>
      </c>
      <c r="CC5" s="102" t="s">
        <v>87</v>
      </c>
      <c r="CD5" s="102" t="s">
        <v>85</v>
      </c>
      <c r="CE5" s="102" t="s">
        <v>86</v>
      </c>
      <c r="CF5" s="102" t="s">
        <v>512</v>
      </c>
      <c r="CG5" s="102" t="s">
        <v>514</v>
      </c>
      <c r="CH5" s="102" t="s">
        <v>513</v>
      </c>
      <c r="CI5" s="102" t="s">
        <v>516</v>
      </c>
      <c r="CJ5" s="102" t="s">
        <v>517</v>
      </c>
      <c r="CK5" s="102" t="s">
        <v>518</v>
      </c>
      <c r="CL5" s="159"/>
      <c r="CM5" s="159"/>
      <c r="CN5" s="159"/>
      <c r="CO5" s="159"/>
      <c r="CP5" s="159"/>
      <c r="CQ5" s="159"/>
      <c r="CR5" s="159"/>
      <c r="CS5" s="159"/>
      <c r="CT5" s="159"/>
      <c r="CU5" s="159"/>
      <c r="CV5" s="159"/>
      <c r="CW5" s="159"/>
      <c r="CX5" s="2"/>
    </row>
    <row r="6" spans="2:102" x14ac:dyDescent="0.2">
      <c r="B6" s="232" t="str">
        <f>ProductTable!V10</f>
        <v>AR5212/AR5111/AR2111</v>
      </c>
      <c r="C6" s="156" t="str">
        <f>"TDWLANModule!F"&amp;(CT_HELP!$A$6+14*(CT_HELP!A6-3))&amp;":CK"&amp;CT_HELP!$A$16+14*(CT_HELP!A6-3)</f>
        <v>TDWLANModule!F48:CK58</v>
      </c>
      <c r="D6" s="106" t="b">
        <v>0</v>
      </c>
      <c r="E6" s="235" t="s">
        <v>143</v>
      </c>
      <c r="F6" s="310">
        <v>1</v>
      </c>
      <c r="G6" s="311">
        <v>18</v>
      </c>
      <c r="H6" s="311">
        <v>-90</v>
      </c>
      <c r="I6" s="295">
        <v>12</v>
      </c>
      <c r="J6" s="312">
        <v>17</v>
      </c>
      <c r="K6" s="313">
        <v>-84</v>
      </c>
      <c r="L6" s="467"/>
      <c r="M6" s="468"/>
      <c r="N6" s="468"/>
      <c r="O6" s="467"/>
      <c r="P6" s="468"/>
      <c r="Q6" s="469"/>
      <c r="R6" s="310">
        <v>6</v>
      </c>
      <c r="S6" s="311">
        <v>18</v>
      </c>
      <c r="T6" s="311">
        <v>-87</v>
      </c>
      <c r="U6" s="302">
        <v>12</v>
      </c>
      <c r="V6" s="294">
        <v>17</v>
      </c>
      <c r="W6" s="51">
        <v>-84</v>
      </c>
      <c r="X6" s="467"/>
      <c r="Y6" s="468"/>
      <c r="Z6" s="468"/>
      <c r="AA6" s="467"/>
      <c r="AB6" s="468"/>
      <c r="AC6" s="469"/>
      <c r="AD6" s="467"/>
      <c r="AE6" s="468"/>
      <c r="AF6" s="468"/>
      <c r="AG6" s="467"/>
      <c r="AH6" s="468"/>
      <c r="AI6" s="469"/>
      <c r="AJ6" s="467"/>
      <c r="AK6" s="468"/>
      <c r="AL6" s="468"/>
      <c r="AM6" s="467"/>
      <c r="AN6" s="468"/>
      <c r="AO6" s="469"/>
      <c r="AP6" s="467"/>
      <c r="AQ6" s="468"/>
      <c r="AR6" s="468"/>
      <c r="AS6" s="467"/>
      <c r="AT6" s="468"/>
      <c r="AU6" s="469"/>
      <c r="AV6" s="467"/>
      <c r="AW6" s="468"/>
      <c r="AX6" s="468"/>
      <c r="AY6" s="467"/>
      <c r="AZ6" s="468"/>
      <c r="BA6" s="469"/>
      <c r="BB6" s="310">
        <v>6</v>
      </c>
      <c r="BC6" s="311">
        <v>18</v>
      </c>
      <c r="BD6" s="311">
        <v>-87</v>
      </c>
      <c r="BE6" s="302">
        <v>12</v>
      </c>
      <c r="BF6" s="294">
        <v>17</v>
      </c>
      <c r="BG6" s="51">
        <v>-84</v>
      </c>
      <c r="BH6" s="467"/>
      <c r="BI6" s="468"/>
      <c r="BJ6" s="468"/>
      <c r="BK6" s="467"/>
      <c r="BL6" s="468"/>
      <c r="BM6" s="469"/>
      <c r="BN6" s="467"/>
      <c r="BO6" s="468"/>
      <c r="BP6" s="468"/>
      <c r="BQ6" s="467"/>
      <c r="BR6" s="468"/>
      <c r="BS6" s="469"/>
      <c r="BT6" s="467"/>
      <c r="BU6" s="468"/>
      <c r="BV6" s="468"/>
      <c r="BW6" s="467"/>
      <c r="BX6" s="468"/>
      <c r="BY6" s="469"/>
      <c r="BZ6" s="467"/>
      <c r="CA6" s="468"/>
      <c r="CB6" s="468"/>
      <c r="CC6" s="467"/>
      <c r="CD6" s="468"/>
      <c r="CE6" s="469"/>
      <c r="CF6" s="467"/>
      <c r="CG6" s="468"/>
      <c r="CH6" s="468"/>
      <c r="CI6" s="467"/>
      <c r="CJ6" s="468"/>
      <c r="CK6" s="469"/>
      <c r="CL6" s="32"/>
      <c r="CM6" s="31"/>
      <c r="CN6" s="31"/>
      <c r="CO6" s="32"/>
      <c r="CP6" s="2"/>
      <c r="CQ6" s="2"/>
      <c r="CR6" s="32"/>
      <c r="CS6" s="31"/>
      <c r="CT6" s="31"/>
      <c r="CU6" s="32"/>
      <c r="CV6" s="2"/>
      <c r="CW6" s="2"/>
      <c r="CX6" s="2"/>
    </row>
    <row r="7" spans="2:102" x14ac:dyDescent="0.2">
      <c r="B7" s="232" t="str">
        <f>ProductTable!V11</f>
        <v>AR5213/AR5112</v>
      </c>
      <c r="C7" s="156" t="str">
        <f>"TDWLANModule!F"&amp;(CT_HELP!$A$6+14*(CT_HELP!A7-3))&amp;":CK"&amp;CT_HELP!$A$16+14*(CT_HELP!A7-3)</f>
        <v>TDWLANModule!F62:CK72</v>
      </c>
      <c r="D7" s="106" t="b">
        <v>0</v>
      </c>
      <c r="E7" s="34"/>
      <c r="F7" s="314">
        <v>5.5</v>
      </c>
      <c r="G7" s="31">
        <v>18</v>
      </c>
      <c r="H7" s="32">
        <v>-88</v>
      </c>
      <c r="I7" s="6">
        <v>18</v>
      </c>
      <c r="J7" s="47">
        <v>17</v>
      </c>
      <c r="K7" s="115">
        <v>-83</v>
      </c>
      <c r="L7" s="470"/>
      <c r="M7" s="471"/>
      <c r="N7" s="471"/>
      <c r="O7" s="470"/>
      <c r="P7" s="471"/>
      <c r="Q7" s="472"/>
      <c r="R7" s="315">
        <v>9</v>
      </c>
      <c r="S7" s="32">
        <v>18</v>
      </c>
      <c r="T7" s="32">
        <v>-86</v>
      </c>
      <c r="U7" s="30">
        <v>18</v>
      </c>
      <c r="V7" s="109">
        <v>17</v>
      </c>
      <c r="W7" s="53">
        <v>-83</v>
      </c>
      <c r="X7" s="470"/>
      <c r="Y7" s="471"/>
      <c r="Z7" s="471"/>
      <c r="AA7" s="470"/>
      <c r="AB7" s="471"/>
      <c r="AC7" s="472"/>
      <c r="AD7" s="470"/>
      <c r="AE7" s="471"/>
      <c r="AF7" s="471"/>
      <c r="AG7" s="470"/>
      <c r="AH7" s="471"/>
      <c r="AI7" s="472"/>
      <c r="AJ7" s="470"/>
      <c r="AK7" s="471"/>
      <c r="AL7" s="471"/>
      <c r="AM7" s="470"/>
      <c r="AN7" s="471"/>
      <c r="AO7" s="472"/>
      <c r="AP7" s="470"/>
      <c r="AQ7" s="471"/>
      <c r="AR7" s="471"/>
      <c r="AS7" s="470"/>
      <c r="AT7" s="471"/>
      <c r="AU7" s="472"/>
      <c r="AV7" s="470"/>
      <c r="AW7" s="471"/>
      <c r="AX7" s="471"/>
      <c r="AY7" s="470"/>
      <c r="AZ7" s="471"/>
      <c r="BA7" s="472"/>
      <c r="BB7" s="315">
        <v>9</v>
      </c>
      <c r="BC7" s="32">
        <v>18</v>
      </c>
      <c r="BD7" s="32">
        <v>-86</v>
      </c>
      <c r="BE7" s="30">
        <v>18</v>
      </c>
      <c r="BF7" s="109">
        <v>17</v>
      </c>
      <c r="BG7" s="53">
        <v>-83</v>
      </c>
      <c r="BH7" s="470"/>
      <c r="BI7" s="471"/>
      <c r="BJ7" s="471"/>
      <c r="BK7" s="470"/>
      <c r="BL7" s="471"/>
      <c r="BM7" s="472"/>
      <c r="BN7" s="470"/>
      <c r="BO7" s="471"/>
      <c r="BP7" s="471"/>
      <c r="BQ7" s="470"/>
      <c r="BR7" s="471"/>
      <c r="BS7" s="472"/>
      <c r="BT7" s="470"/>
      <c r="BU7" s="471"/>
      <c r="BV7" s="471"/>
      <c r="BW7" s="470"/>
      <c r="BX7" s="471"/>
      <c r="BY7" s="472"/>
      <c r="BZ7" s="470"/>
      <c r="CA7" s="471"/>
      <c r="CB7" s="471"/>
      <c r="CC7" s="470"/>
      <c r="CD7" s="471"/>
      <c r="CE7" s="472"/>
      <c r="CF7" s="470"/>
      <c r="CG7" s="471"/>
      <c r="CH7" s="471"/>
      <c r="CI7" s="470"/>
      <c r="CJ7" s="471"/>
      <c r="CK7" s="472"/>
      <c r="CL7" s="32"/>
      <c r="CM7" s="31"/>
      <c r="CN7" s="31"/>
      <c r="CO7" s="32"/>
      <c r="CP7" s="2"/>
      <c r="CQ7" s="2"/>
      <c r="CR7" s="32"/>
      <c r="CS7" s="31"/>
      <c r="CT7" s="31"/>
      <c r="CU7" s="32"/>
      <c r="CV7" s="2"/>
      <c r="CW7" s="2"/>
      <c r="CX7" s="2"/>
    </row>
    <row r="8" spans="2:102" ht="10.5" x14ac:dyDescent="0.25">
      <c r="B8" s="232" t="str">
        <f>ProductTable!V12</f>
        <v>AR5414</v>
      </c>
      <c r="C8" s="156" t="str">
        <f>"TDWLANModule!F"&amp;(CT_HELP!$A$6+14*(CT_HELP!A8-3))&amp;":CK"&amp;CT_HELP!$A$16+14*(CT_HELP!A8-3)</f>
        <v>TDWLANModule!F76:CK86</v>
      </c>
      <c r="D8" s="106" t="b">
        <v>0</v>
      </c>
      <c r="E8" s="27"/>
      <c r="F8" s="315">
        <v>6</v>
      </c>
      <c r="G8" s="31">
        <v>18</v>
      </c>
      <c r="H8" s="32">
        <v>-87</v>
      </c>
      <c r="I8" s="6">
        <v>24</v>
      </c>
      <c r="J8" s="47">
        <v>17</v>
      </c>
      <c r="K8" s="115">
        <v>-82</v>
      </c>
      <c r="L8" s="470"/>
      <c r="M8" s="471"/>
      <c r="N8" s="471"/>
      <c r="O8" s="470"/>
      <c r="P8" s="471"/>
      <c r="Q8" s="472"/>
      <c r="R8" s="315">
        <v>12</v>
      </c>
      <c r="S8" s="32">
        <v>18</v>
      </c>
      <c r="T8" s="32">
        <v>-85</v>
      </c>
      <c r="U8" s="30">
        <v>24</v>
      </c>
      <c r="V8" s="109">
        <v>17</v>
      </c>
      <c r="W8" s="53">
        <v>-81</v>
      </c>
      <c r="X8" s="470"/>
      <c r="Y8" s="471"/>
      <c r="Z8" s="471"/>
      <c r="AA8" s="470"/>
      <c r="AB8" s="471"/>
      <c r="AC8" s="472"/>
      <c r="AD8" s="470"/>
      <c r="AE8" s="471"/>
      <c r="AF8" s="471"/>
      <c r="AG8" s="470"/>
      <c r="AH8" s="471"/>
      <c r="AI8" s="472"/>
      <c r="AJ8" s="470"/>
      <c r="AK8" s="471"/>
      <c r="AL8" s="471"/>
      <c r="AM8" s="470"/>
      <c r="AN8" s="471"/>
      <c r="AO8" s="472"/>
      <c r="AP8" s="470"/>
      <c r="AQ8" s="471"/>
      <c r="AR8" s="471"/>
      <c r="AS8" s="470"/>
      <c r="AT8" s="471"/>
      <c r="AU8" s="472"/>
      <c r="AV8" s="470"/>
      <c r="AW8" s="471"/>
      <c r="AX8" s="471"/>
      <c r="AY8" s="470"/>
      <c r="AZ8" s="471"/>
      <c r="BA8" s="472"/>
      <c r="BB8" s="315">
        <v>12</v>
      </c>
      <c r="BC8" s="32">
        <v>18</v>
      </c>
      <c r="BD8" s="32">
        <v>-85</v>
      </c>
      <c r="BE8" s="30">
        <v>24</v>
      </c>
      <c r="BF8" s="109">
        <v>17</v>
      </c>
      <c r="BG8" s="53">
        <v>-81</v>
      </c>
      <c r="BH8" s="470"/>
      <c r="BI8" s="471"/>
      <c r="BJ8" s="471"/>
      <c r="BK8" s="470"/>
      <c r="BL8" s="471"/>
      <c r="BM8" s="472"/>
      <c r="BN8" s="470"/>
      <c r="BO8" s="471"/>
      <c r="BP8" s="471"/>
      <c r="BQ8" s="470"/>
      <c r="BR8" s="471"/>
      <c r="BS8" s="472"/>
      <c r="BT8" s="470"/>
      <c r="BU8" s="471"/>
      <c r="BV8" s="471"/>
      <c r="BW8" s="470"/>
      <c r="BX8" s="471"/>
      <c r="BY8" s="472"/>
      <c r="BZ8" s="470"/>
      <c r="CA8" s="471"/>
      <c r="CB8" s="471"/>
      <c r="CC8" s="470"/>
      <c r="CD8" s="471"/>
      <c r="CE8" s="472"/>
      <c r="CF8" s="470"/>
      <c r="CG8" s="471"/>
      <c r="CH8" s="471"/>
      <c r="CI8" s="470"/>
      <c r="CJ8" s="471"/>
      <c r="CK8" s="472"/>
      <c r="CL8" s="32"/>
      <c r="CM8" s="31"/>
      <c r="CN8" s="31"/>
      <c r="CO8" s="32"/>
      <c r="CP8" s="2"/>
      <c r="CQ8" s="2"/>
      <c r="CR8" s="32"/>
      <c r="CS8" s="31"/>
      <c r="CT8" s="31"/>
      <c r="CU8" s="32"/>
      <c r="CV8" s="2"/>
      <c r="CW8" s="2"/>
      <c r="CX8" s="2"/>
    </row>
    <row r="9" spans="2:102" ht="10.5" x14ac:dyDescent="0.25">
      <c r="B9" s="232" t="str">
        <f>ProductTable!V13</f>
        <v>AR5213/AR2112</v>
      </c>
      <c r="C9" s="156" t="str">
        <f>"TDWLANModule!F"&amp;(CT_HELP!$A$6+14*(CT_HELP!A9-3))&amp;":CK"&amp;CT_HELP!$A$16+14*(CT_HELP!A9-3)</f>
        <v>TDWLANModule!F90:CK100</v>
      </c>
      <c r="D9" s="106" t="b">
        <v>0</v>
      </c>
      <c r="E9" s="27"/>
      <c r="F9" s="315">
        <v>9</v>
      </c>
      <c r="G9" s="31">
        <v>18</v>
      </c>
      <c r="H9" s="32">
        <v>-86</v>
      </c>
      <c r="I9" s="6">
        <v>36</v>
      </c>
      <c r="J9" s="47">
        <v>17</v>
      </c>
      <c r="K9" s="115">
        <v>-80</v>
      </c>
      <c r="L9" s="470"/>
      <c r="M9" s="471"/>
      <c r="N9" s="471"/>
      <c r="O9" s="470"/>
      <c r="P9" s="471"/>
      <c r="Q9" s="472"/>
      <c r="R9" s="315">
        <v>18</v>
      </c>
      <c r="S9" s="32">
        <v>18</v>
      </c>
      <c r="T9" s="32">
        <v>-83</v>
      </c>
      <c r="U9" s="30">
        <v>36</v>
      </c>
      <c r="V9" s="109">
        <v>17</v>
      </c>
      <c r="W9" s="53">
        <v>-80</v>
      </c>
      <c r="X9" s="470"/>
      <c r="Y9" s="471"/>
      <c r="Z9" s="471"/>
      <c r="AA9" s="470"/>
      <c r="AB9" s="471"/>
      <c r="AC9" s="472"/>
      <c r="AD9" s="470"/>
      <c r="AE9" s="471"/>
      <c r="AF9" s="471"/>
      <c r="AG9" s="470"/>
      <c r="AH9" s="471"/>
      <c r="AI9" s="472"/>
      <c r="AJ9" s="470"/>
      <c r="AK9" s="471"/>
      <c r="AL9" s="471"/>
      <c r="AM9" s="470"/>
      <c r="AN9" s="471"/>
      <c r="AO9" s="472"/>
      <c r="AP9" s="470"/>
      <c r="AQ9" s="471"/>
      <c r="AR9" s="471"/>
      <c r="AS9" s="470"/>
      <c r="AT9" s="471"/>
      <c r="AU9" s="472"/>
      <c r="AV9" s="470"/>
      <c r="AW9" s="471"/>
      <c r="AX9" s="471"/>
      <c r="AY9" s="470"/>
      <c r="AZ9" s="471"/>
      <c r="BA9" s="472"/>
      <c r="BB9" s="315">
        <v>18</v>
      </c>
      <c r="BC9" s="32">
        <v>18</v>
      </c>
      <c r="BD9" s="32">
        <v>-83</v>
      </c>
      <c r="BE9" s="30">
        <v>36</v>
      </c>
      <c r="BF9" s="109">
        <v>17</v>
      </c>
      <c r="BG9" s="53">
        <v>-80</v>
      </c>
      <c r="BH9" s="470"/>
      <c r="BI9" s="471"/>
      <c r="BJ9" s="471"/>
      <c r="BK9" s="470"/>
      <c r="BL9" s="471"/>
      <c r="BM9" s="472"/>
      <c r="BN9" s="470"/>
      <c r="BO9" s="471"/>
      <c r="BP9" s="471"/>
      <c r="BQ9" s="470"/>
      <c r="BR9" s="471"/>
      <c r="BS9" s="472"/>
      <c r="BT9" s="470"/>
      <c r="BU9" s="471"/>
      <c r="BV9" s="471"/>
      <c r="BW9" s="470"/>
      <c r="BX9" s="471"/>
      <c r="BY9" s="472"/>
      <c r="BZ9" s="470"/>
      <c r="CA9" s="471"/>
      <c r="CB9" s="471"/>
      <c r="CC9" s="470"/>
      <c r="CD9" s="471"/>
      <c r="CE9" s="472"/>
      <c r="CF9" s="470"/>
      <c r="CG9" s="471"/>
      <c r="CH9" s="471"/>
      <c r="CI9" s="470"/>
      <c r="CJ9" s="471"/>
      <c r="CK9" s="472"/>
      <c r="CL9" s="32"/>
      <c r="CM9" s="31"/>
      <c r="CN9" s="31"/>
      <c r="CO9" s="32"/>
      <c r="CP9" s="2"/>
      <c r="CQ9" s="2"/>
      <c r="CR9" s="32"/>
      <c r="CS9" s="31"/>
      <c r="CT9" s="31"/>
      <c r="CU9" s="32"/>
      <c r="CV9" s="2"/>
      <c r="CW9" s="2"/>
      <c r="CX9" s="2"/>
    </row>
    <row r="10" spans="2:102" ht="10.5" x14ac:dyDescent="0.25">
      <c r="B10" s="232" t="str">
        <f>ProductTable!V14</f>
        <v>AR2414</v>
      </c>
      <c r="C10" s="156" t="str">
        <f>"TDWLANModule!F"&amp;(CT_HELP!$A$6+14*(CT_HELP!A10-3))&amp;":CK"&amp;CT_HELP!$A$16+14*(CT_HELP!A10-3)</f>
        <v>TDWLANModule!F104:CK114</v>
      </c>
      <c r="D10" s="106" t="b">
        <v>0</v>
      </c>
      <c r="E10" s="27"/>
      <c r="F10" s="315">
        <v>11</v>
      </c>
      <c r="G10" s="31">
        <v>18</v>
      </c>
      <c r="H10" s="32">
        <v>-84</v>
      </c>
      <c r="I10" s="6">
        <v>48</v>
      </c>
      <c r="J10" s="47">
        <v>17</v>
      </c>
      <c r="K10" s="115">
        <v>-77</v>
      </c>
      <c r="L10" s="470"/>
      <c r="M10" s="471"/>
      <c r="N10" s="471"/>
      <c r="O10" s="470"/>
      <c r="P10" s="471"/>
      <c r="Q10" s="472"/>
      <c r="R10" s="315">
        <v>24</v>
      </c>
      <c r="S10" s="32">
        <v>18</v>
      </c>
      <c r="T10" s="32">
        <v>-80</v>
      </c>
      <c r="U10" s="30">
        <v>48</v>
      </c>
      <c r="V10" s="109">
        <v>17</v>
      </c>
      <c r="W10" s="53">
        <v>-77</v>
      </c>
      <c r="X10" s="470"/>
      <c r="Y10" s="471"/>
      <c r="Z10" s="471"/>
      <c r="AA10" s="470"/>
      <c r="AB10" s="471"/>
      <c r="AC10" s="472"/>
      <c r="AD10" s="470"/>
      <c r="AE10" s="471"/>
      <c r="AF10" s="471"/>
      <c r="AG10" s="470"/>
      <c r="AH10" s="471"/>
      <c r="AI10" s="472"/>
      <c r="AJ10" s="470"/>
      <c r="AK10" s="471"/>
      <c r="AL10" s="471"/>
      <c r="AM10" s="470"/>
      <c r="AN10" s="471"/>
      <c r="AO10" s="472"/>
      <c r="AP10" s="470"/>
      <c r="AQ10" s="471"/>
      <c r="AR10" s="471"/>
      <c r="AS10" s="470"/>
      <c r="AT10" s="471"/>
      <c r="AU10" s="472"/>
      <c r="AV10" s="470"/>
      <c r="AW10" s="471"/>
      <c r="AX10" s="471"/>
      <c r="AY10" s="470"/>
      <c r="AZ10" s="471"/>
      <c r="BA10" s="472"/>
      <c r="BB10" s="315">
        <v>24</v>
      </c>
      <c r="BC10" s="32">
        <v>18</v>
      </c>
      <c r="BD10" s="32">
        <v>-80</v>
      </c>
      <c r="BE10" s="30">
        <v>48</v>
      </c>
      <c r="BF10" s="109">
        <v>17</v>
      </c>
      <c r="BG10" s="53">
        <v>-77</v>
      </c>
      <c r="BH10" s="470"/>
      <c r="BI10" s="471"/>
      <c r="BJ10" s="471"/>
      <c r="BK10" s="470"/>
      <c r="BL10" s="471"/>
      <c r="BM10" s="472"/>
      <c r="BN10" s="470"/>
      <c r="BO10" s="471"/>
      <c r="BP10" s="471"/>
      <c r="BQ10" s="470"/>
      <c r="BR10" s="471"/>
      <c r="BS10" s="472"/>
      <c r="BT10" s="470"/>
      <c r="BU10" s="471"/>
      <c r="BV10" s="471"/>
      <c r="BW10" s="470"/>
      <c r="BX10" s="471"/>
      <c r="BY10" s="472"/>
      <c r="BZ10" s="470"/>
      <c r="CA10" s="471"/>
      <c r="CB10" s="471"/>
      <c r="CC10" s="470"/>
      <c r="CD10" s="471"/>
      <c r="CE10" s="472"/>
      <c r="CF10" s="470"/>
      <c r="CG10" s="471"/>
      <c r="CH10" s="471"/>
      <c r="CI10" s="470"/>
      <c r="CJ10" s="471"/>
      <c r="CK10" s="472"/>
      <c r="CL10" s="32"/>
      <c r="CM10" s="31"/>
      <c r="CN10" s="31"/>
      <c r="CO10" s="32"/>
      <c r="CP10" s="2"/>
      <c r="CQ10" s="2"/>
      <c r="CR10" s="32"/>
      <c r="CS10" s="31"/>
      <c r="CT10" s="31"/>
      <c r="CU10" s="32"/>
      <c r="CV10" s="2"/>
      <c r="CW10" s="2"/>
      <c r="CX10" s="2"/>
    </row>
    <row r="11" spans="2:102" ht="10.5" x14ac:dyDescent="0.25">
      <c r="B11" s="232" t="str">
        <f>ProductTable!V15</f>
        <v>AR9160/AR9106</v>
      </c>
      <c r="C11" s="156" t="str">
        <f>"TDWLANModule!F"&amp;(CT_HELP!$A$6+14*(CT_HELP!A11-3))&amp;":CK"&amp;CT_HELP!$A$16+14*(CT_HELP!A11-3)</f>
        <v>TDWLANModule!F118:CK128</v>
      </c>
      <c r="D11" s="106" t="b">
        <v>1</v>
      </c>
      <c r="E11" s="27"/>
      <c r="F11" s="315">
        <v>12</v>
      </c>
      <c r="G11" s="31">
        <v>18</v>
      </c>
      <c r="H11" s="32">
        <v>-85</v>
      </c>
      <c r="I11" s="6">
        <v>72</v>
      </c>
      <c r="J11" s="47">
        <v>14</v>
      </c>
      <c r="K11" s="115">
        <v>-73</v>
      </c>
      <c r="L11" s="470"/>
      <c r="M11" s="471"/>
      <c r="N11" s="471"/>
      <c r="O11" s="470"/>
      <c r="P11" s="471"/>
      <c r="Q11" s="472"/>
      <c r="R11" s="315">
        <v>36</v>
      </c>
      <c r="S11" s="31">
        <v>15</v>
      </c>
      <c r="T11" s="32">
        <v>-76</v>
      </c>
      <c r="U11" s="30">
        <v>72</v>
      </c>
      <c r="V11" s="2">
        <v>14</v>
      </c>
      <c r="W11" s="53">
        <v>-73</v>
      </c>
      <c r="X11" s="470"/>
      <c r="Y11" s="471"/>
      <c r="Z11" s="471"/>
      <c r="AA11" s="470"/>
      <c r="AB11" s="471"/>
      <c r="AC11" s="472"/>
      <c r="AD11" s="470"/>
      <c r="AE11" s="471"/>
      <c r="AF11" s="471"/>
      <c r="AG11" s="470"/>
      <c r="AH11" s="471"/>
      <c r="AI11" s="472"/>
      <c r="AJ11" s="470"/>
      <c r="AK11" s="471"/>
      <c r="AL11" s="471"/>
      <c r="AM11" s="470"/>
      <c r="AN11" s="471"/>
      <c r="AO11" s="472"/>
      <c r="AP11" s="470"/>
      <c r="AQ11" s="471"/>
      <c r="AR11" s="471"/>
      <c r="AS11" s="470"/>
      <c r="AT11" s="471"/>
      <c r="AU11" s="472"/>
      <c r="AV11" s="470"/>
      <c r="AW11" s="471"/>
      <c r="AX11" s="471"/>
      <c r="AY11" s="470"/>
      <c r="AZ11" s="471"/>
      <c r="BA11" s="472"/>
      <c r="BB11" s="315">
        <v>36</v>
      </c>
      <c r="BC11" s="31">
        <v>15</v>
      </c>
      <c r="BD11" s="32">
        <v>-76</v>
      </c>
      <c r="BE11" s="30">
        <v>72</v>
      </c>
      <c r="BF11" s="2">
        <v>14</v>
      </c>
      <c r="BG11" s="53">
        <v>-73</v>
      </c>
      <c r="BH11" s="470"/>
      <c r="BI11" s="471"/>
      <c r="BJ11" s="471"/>
      <c r="BK11" s="470"/>
      <c r="BL11" s="471"/>
      <c r="BM11" s="472"/>
      <c r="BN11" s="470"/>
      <c r="BO11" s="471"/>
      <c r="BP11" s="471"/>
      <c r="BQ11" s="470"/>
      <c r="BR11" s="471"/>
      <c r="BS11" s="472"/>
      <c r="BT11" s="470"/>
      <c r="BU11" s="471"/>
      <c r="BV11" s="471"/>
      <c r="BW11" s="470"/>
      <c r="BX11" s="471"/>
      <c r="BY11" s="472"/>
      <c r="BZ11" s="470"/>
      <c r="CA11" s="471"/>
      <c r="CB11" s="471"/>
      <c r="CC11" s="470"/>
      <c r="CD11" s="471"/>
      <c r="CE11" s="472"/>
      <c r="CF11" s="470"/>
      <c r="CG11" s="471"/>
      <c r="CH11" s="471"/>
      <c r="CI11" s="470"/>
      <c r="CJ11" s="471"/>
      <c r="CK11" s="472"/>
      <c r="CL11" s="32"/>
      <c r="CM11" s="31"/>
      <c r="CN11" s="31"/>
      <c r="CO11" s="32"/>
      <c r="CP11" s="2"/>
      <c r="CQ11" s="2"/>
      <c r="CR11" s="32"/>
      <c r="CS11" s="31"/>
      <c r="CT11" s="31"/>
      <c r="CU11" s="32"/>
      <c r="CV11" s="2"/>
      <c r="CW11" s="2"/>
      <c r="CX11" s="2"/>
    </row>
    <row r="12" spans="2:102" ht="10.5" x14ac:dyDescent="0.25">
      <c r="B12" s="156" t="str">
        <f>ProductTable!V16</f>
        <v>AR9170/AR9104</v>
      </c>
      <c r="C12" s="156" t="str">
        <f>"TDWLANModule!F"&amp;(CT_HELP!$A$6+14*(CT_HELP!A12-3))&amp;":CK"&amp;CT_HELP!$A$16+14*(CT_HELP!A12-3)</f>
        <v>TDWLANModule!F132:CK142</v>
      </c>
      <c r="D12" s="106" t="b">
        <v>1</v>
      </c>
      <c r="E12" s="27"/>
      <c r="F12" s="315">
        <v>18</v>
      </c>
      <c r="G12" s="31">
        <v>18</v>
      </c>
      <c r="H12" s="32">
        <v>-83</v>
      </c>
      <c r="I12" s="6">
        <v>96</v>
      </c>
      <c r="J12" s="47">
        <v>14</v>
      </c>
      <c r="K12" s="115">
        <v>-68</v>
      </c>
      <c r="L12" s="470"/>
      <c r="M12" s="471"/>
      <c r="N12" s="471"/>
      <c r="O12" s="470"/>
      <c r="P12" s="471"/>
      <c r="Q12" s="472"/>
      <c r="R12" s="315">
        <v>48</v>
      </c>
      <c r="S12" s="31">
        <v>15</v>
      </c>
      <c r="T12" s="32">
        <v>-71</v>
      </c>
      <c r="U12" s="30">
        <v>96</v>
      </c>
      <c r="V12" s="2">
        <v>13</v>
      </c>
      <c r="W12" s="53">
        <v>-68</v>
      </c>
      <c r="X12" s="470"/>
      <c r="Y12" s="471"/>
      <c r="Z12" s="471"/>
      <c r="AA12" s="470"/>
      <c r="AB12" s="471"/>
      <c r="AC12" s="472"/>
      <c r="AD12" s="470"/>
      <c r="AE12" s="471"/>
      <c r="AF12" s="471"/>
      <c r="AG12" s="470"/>
      <c r="AH12" s="471"/>
      <c r="AI12" s="472"/>
      <c r="AJ12" s="470"/>
      <c r="AK12" s="471"/>
      <c r="AL12" s="471"/>
      <c r="AM12" s="470"/>
      <c r="AN12" s="471"/>
      <c r="AO12" s="472"/>
      <c r="AP12" s="470"/>
      <c r="AQ12" s="471"/>
      <c r="AR12" s="471"/>
      <c r="AS12" s="470"/>
      <c r="AT12" s="471"/>
      <c r="AU12" s="472"/>
      <c r="AV12" s="470"/>
      <c r="AW12" s="471"/>
      <c r="AX12" s="471"/>
      <c r="AY12" s="470"/>
      <c r="AZ12" s="471"/>
      <c r="BA12" s="472"/>
      <c r="BB12" s="315">
        <v>48</v>
      </c>
      <c r="BC12" s="31">
        <v>15</v>
      </c>
      <c r="BD12" s="32">
        <v>-71</v>
      </c>
      <c r="BE12" s="30">
        <v>96</v>
      </c>
      <c r="BF12" s="2">
        <v>13</v>
      </c>
      <c r="BG12" s="53">
        <v>-68</v>
      </c>
      <c r="BH12" s="470"/>
      <c r="BI12" s="471"/>
      <c r="BJ12" s="471"/>
      <c r="BK12" s="470"/>
      <c r="BL12" s="471"/>
      <c r="BM12" s="472"/>
      <c r="BN12" s="470"/>
      <c r="BO12" s="471"/>
      <c r="BP12" s="471"/>
      <c r="BQ12" s="470"/>
      <c r="BR12" s="471"/>
      <c r="BS12" s="472"/>
      <c r="BT12" s="470"/>
      <c r="BU12" s="471"/>
      <c r="BV12" s="471"/>
      <c r="BW12" s="470"/>
      <c r="BX12" s="471"/>
      <c r="BY12" s="472"/>
      <c r="BZ12" s="470"/>
      <c r="CA12" s="471"/>
      <c r="CB12" s="471"/>
      <c r="CC12" s="470"/>
      <c r="CD12" s="471"/>
      <c r="CE12" s="472"/>
      <c r="CF12" s="470"/>
      <c r="CG12" s="471"/>
      <c r="CH12" s="471"/>
      <c r="CI12" s="470"/>
      <c r="CJ12" s="471"/>
      <c r="CK12" s="472"/>
      <c r="CL12" s="32"/>
      <c r="CM12" s="31"/>
      <c r="CN12" s="31"/>
      <c r="CO12" s="32"/>
      <c r="CP12" s="2"/>
      <c r="CQ12" s="2"/>
      <c r="CR12" s="32"/>
      <c r="CS12" s="31"/>
      <c r="CT12" s="31"/>
      <c r="CU12" s="32"/>
      <c r="CV12" s="2"/>
      <c r="CW12" s="2"/>
      <c r="CX12" s="2"/>
    </row>
    <row r="13" spans="2:102" ht="10.5" x14ac:dyDescent="0.25">
      <c r="B13" s="156" t="str">
        <f>ProductTable!V17</f>
        <v>AR9280</v>
      </c>
      <c r="C13" s="156" t="str">
        <f>"TDWLANModule!F"&amp;(CT_HELP!$A$6+14*(CT_HELP!A13-3))&amp;":CK"&amp;CT_HELP!$A$16+14*(CT_HELP!A13-3)</f>
        <v>TDWLANModule!F146:CK156</v>
      </c>
      <c r="D13" s="106" t="b">
        <v>1</v>
      </c>
      <c r="E13" s="27"/>
      <c r="F13" s="315">
        <v>24</v>
      </c>
      <c r="G13" s="31">
        <v>18</v>
      </c>
      <c r="H13" s="32">
        <v>-80</v>
      </c>
      <c r="I13" s="6">
        <v>108</v>
      </c>
      <c r="J13" s="47">
        <v>13</v>
      </c>
      <c r="K13" s="115">
        <v>-63</v>
      </c>
      <c r="L13" s="470"/>
      <c r="M13" s="471"/>
      <c r="N13" s="471"/>
      <c r="O13" s="470"/>
      <c r="P13" s="471"/>
      <c r="Q13" s="472"/>
      <c r="R13" s="315">
        <v>54</v>
      </c>
      <c r="S13" s="31">
        <v>14</v>
      </c>
      <c r="T13" s="32">
        <v>-66</v>
      </c>
      <c r="U13" s="30">
        <v>108</v>
      </c>
      <c r="V13" s="2">
        <v>13</v>
      </c>
      <c r="W13" s="53">
        <v>-63</v>
      </c>
      <c r="X13" s="470"/>
      <c r="Y13" s="471"/>
      <c r="Z13" s="471"/>
      <c r="AA13" s="470"/>
      <c r="AB13" s="471"/>
      <c r="AC13" s="472"/>
      <c r="AD13" s="470"/>
      <c r="AE13" s="471"/>
      <c r="AF13" s="471"/>
      <c r="AG13" s="470"/>
      <c r="AH13" s="471"/>
      <c r="AI13" s="472"/>
      <c r="AJ13" s="470"/>
      <c r="AK13" s="471"/>
      <c r="AL13" s="471"/>
      <c r="AM13" s="470"/>
      <c r="AN13" s="471"/>
      <c r="AO13" s="472"/>
      <c r="AP13" s="470"/>
      <c r="AQ13" s="471"/>
      <c r="AR13" s="471"/>
      <c r="AS13" s="470"/>
      <c r="AT13" s="471"/>
      <c r="AU13" s="472"/>
      <c r="AV13" s="470"/>
      <c r="AW13" s="471"/>
      <c r="AX13" s="471"/>
      <c r="AY13" s="470"/>
      <c r="AZ13" s="471"/>
      <c r="BA13" s="472"/>
      <c r="BB13" s="315">
        <v>54</v>
      </c>
      <c r="BC13" s="31">
        <v>14</v>
      </c>
      <c r="BD13" s="32">
        <v>-66</v>
      </c>
      <c r="BE13" s="30">
        <v>108</v>
      </c>
      <c r="BF13" s="2">
        <v>13</v>
      </c>
      <c r="BG13" s="53">
        <v>-63</v>
      </c>
      <c r="BH13" s="470"/>
      <c r="BI13" s="471"/>
      <c r="BJ13" s="471"/>
      <c r="BK13" s="470"/>
      <c r="BL13" s="471"/>
      <c r="BM13" s="472"/>
      <c r="BN13" s="470"/>
      <c r="BO13" s="471"/>
      <c r="BP13" s="471"/>
      <c r="BQ13" s="470"/>
      <c r="BR13" s="471"/>
      <c r="BS13" s="472"/>
      <c r="BT13" s="470"/>
      <c r="BU13" s="471"/>
      <c r="BV13" s="471"/>
      <c r="BW13" s="470"/>
      <c r="BX13" s="471"/>
      <c r="BY13" s="472"/>
      <c r="BZ13" s="470"/>
      <c r="CA13" s="471"/>
      <c r="CB13" s="471"/>
      <c r="CC13" s="470"/>
      <c r="CD13" s="471"/>
      <c r="CE13" s="472"/>
      <c r="CF13" s="470"/>
      <c r="CG13" s="471"/>
      <c r="CH13" s="471"/>
      <c r="CI13" s="470"/>
      <c r="CJ13" s="471"/>
      <c r="CK13" s="472"/>
      <c r="CL13" s="32"/>
      <c r="CM13" s="31"/>
      <c r="CN13" s="31"/>
      <c r="CO13" s="32"/>
      <c r="CP13" s="2"/>
      <c r="CQ13" s="2"/>
      <c r="CR13" s="32"/>
      <c r="CS13" s="31"/>
      <c r="CT13" s="31"/>
      <c r="CU13" s="32"/>
      <c r="CV13" s="2"/>
      <c r="CW13" s="2"/>
      <c r="CX13" s="2"/>
    </row>
    <row r="14" spans="2:102" ht="10.5" x14ac:dyDescent="0.25">
      <c r="B14" s="156" t="str">
        <f>ProductTable!V18</f>
        <v>AR9160/AR9106 (OAP/IAP)</v>
      </c>
      <c r="C14" s="156" t="str">
        <f>"TDWLANModule!F"&amp;(CT_HELP!$A$6+14*(CT_HELP!A14-3))&amp;":CK"&amp;CT_HELP!$A$16+14*(CT_HELP!A14-3)</f>
        <v>TDWLANModule!F160:CK170</v>
      </c>
      <c r="D14" s="106" t="b">
        <v>1</v>
      </c>
      <c r="E14" s="27"/>
      <c r="F14" s="315">
        <v>36</v>
      </c>
      <c r="G14" s="31">
        <v>15</v>
      </c>
      <c r="H14" s="32">
        <v>-76</v>
      </c>
      <c r="I14" s="6"/>
      <c r="J14" s="2"/>
      <c r="K14" s="53"/>
      <c r="L14" s="470"/>
      <c r="M14" s="471"/>
      <c r="N14" s="471"/>
      <c r="O14" s="470"/>
      <c r="P14" s="471"/>
      <c r="Q14" s="472"/>
      <c r="R14" s="315"/>
      <c r="S14" s="2"/>
      <c r="T14" s="2"/>
      <c r="U14" s="30"/>
      <c r="V14" s="2"/>
      <c r="W14" s="53"/>
      <c r="X14" s="470"/>
      <c r="Y14" s="471"/>
      <c r="Z14" s="471"/>
      <c r="AA14" s="470"/>
      <c r="AB14" s="471"/>
      <c r="AC14" s="472"/>
      <c r="AD14" s="470"/>
      <c r="AE14" s="471"/>
      <c r="AF14" s="471"/>
      <c r="AG14" s="470"/>
      <c r="AH14" s="471"/>
      <c r="AI14" s="472"/>
      <c r="AJ14" s="470"/>
      <c r="AK14" s="471"/>
      <c r="AL14" s="471"/>
      <c r="AM14" s="470"/>
      <c r="AN14" s="471"/>
      <c r="AO14" s="472"/>
      <c r="AP14" s="470"/>
      <c r="AQ14" s="471"/>
      <c r="AR14" s="471"/>
      <c r="AS14" s="470"/>
      <c r="AT14" s="471"/>
      <c r="AU14" s="472"/>
      <c r="AV14" s="470"/>
      <c r="AW14" s="471"/>
      <c r="AX14" s="471"/>
      <c r="AY14" s="470"/>
      <c r="AZ14" s="471"/>
      <c r="BA14" s="472"/>
      <c r="BB14" s="315"/>
      <c r="BC14" s="2"/>
      <c r="BD14" s="2"/>
      <c r="BE14" s="30"/>
      <c r="BF14" s="2"/>
      <c r="BG14" s="53"/>
      <c r="BH14" s="470"/>
      <c r="BI14" s="471"/>
      <c r="BJ14" s="471"/>
      <c r="BK14" s="470"/>
      <c r="BL14" s="471"/>
      <c r="BM14" s="472"/>
      <c r="BN14" s="470"/>
      <c r="BO14" s="471"/>
      <c r="BP14" s="471"/>
      <c r="BQ14" s="470"/>
      <c r="BR14" s="471"/>
      <c r="BS14" s="472"/>
      <c r="BT14" s="470"/>
      <c r="BU14" s="471"/>
      <c r="BV14" s="471"/>
      <c r="BW14" s="470"/>
      <c r="BX14" s="471"/>
      <c r="BY14" s="472"/>
      <c r="BZ14" s="470"/>
      <c r="CA14" s="471"/>
      <c r="CB14" s="471"/>
      <c r="CC14" s="470"/>
      <c r="CD14" s="471"/>
      <c r="CE14" s="472"/>
      <c r="CF14" s="470"/>
      <c r="CG14" s="471"/>
      <c r="CH14" s="471"/>
      <c r="CI14" s="470"/>
      <c r="CJ14" s="471"/>
      <c r="CK14" s="472"/>
      <c r="CL14" s="2"/>
      <c r="CM14" s="2"/>
      <c r="CN14" s="2"/>
      <c r="CO14" s="31"/>
      <c r="CP14" s="2"/>
      <c r="CQ14" s="2"/>
      <c r="CR14" s="2"/>
      <c r="CS14" s="2"/>
      <c r="CT14" s="2"/>
      <c r="CU14" s="31"/>
      <c r="CV14" s="2"/>
      <c r="CW14" s="2"/>
      <c r="CX14" s="2"/>
    </row>
    <row r="15" spans="2:102" ht="10.5" x14ac:dyDescent="0.25">
      <c r="B15" s="156" t="str">
        <f>ProductTable!V19</f>
        <v>AR9390</v>
      </c>
      <c r="C15" s="156" t="str">
        <f>"TDWLANModule!F"&amp;(CT_HELP!$A$6+14*(CT_HELP!A15-3))&amp;":CK"&amp;CT_HELP!$A$16+14*(CT_HELP!A15-3)</f>
        <v>TDWLANModule!F174:CK184</v>
      </c>
      <c r="D15" s="106" t="b">
        <v>1</v>
      </c>
      <c r="E15" s="27"/>
      <c r="F15" s="315">
        <v>48</v>
      </c>
      <c r="G15" s="31">
        <v>15</v>
      </c>
      <c r="H15" s="32">
        <v>-71</v>
      </c>
      <c r="I15" s="6"/>
      <c r="J15" s="2"/>
      <c r="K15" s="53"/>
      <c r="L15" s="470"/>
      <c r="M15" s="471"/>
      <c r="N15" s="471"/>
      <c r="O15" s="470"/>
      <c r="P15" s="471"/>
      <c r="Q15" s="472"/>
      <c r="R15" s="315"/>
      <c r="S15" s="31"/>
      <c r="T15" s="32"/>
      <c r="U15" s="30"/>
      <c r="V15" s="2"/>
      <c r="W15" s="53"/>
      <c r="X15" s="470"/>
      <c r="Y15" s="471"/>
      <c r="Z15" s="471"/>
      <c r="AA15" s="470"/>
      <c r="AB15" s="471"/>
      <c r="AC15" s="472"/>
      <c r="AD15" s="470"/>
      <c r="AE15" s="471"/>
      <c r="AF15" s="471"/>
      <c r="AG15" s="470"/>
      <c r="AH15" s="471"/>
      <c r="AI15" s="472"/>
      <c r="AJ15" s="470"/>
      <c r="AK15" s="471"/>
      <c r="AL15" s="471"/>
      <c r="AM15" s="470"/>
      <c r="AN15" s="471"/>
      <c r="AO15" s="472"/>
      <c r="AP15" s="470"/>
      <c r="AQ15" s="471"/>
      <c r="AR15" s="471"/>
      <c r="AS15" s="470"/>
      <c r="AT15" s="471"/>
      <c r="AU15" s="472"/>
      <c r="AV15" s="470"/>
      <c r="AW15" s="471"/>
      <c r="AX15" s="471"/>
      <c r="AY15" s="470"/>
      <c r="AZ15" s="471"/>
      <c r="BA15" s="472"/>
      <c r="BB15" s="315"/>
      <c r="BC15" s="31"/>
      <c r="BD15" s="32"/>
      <c r="BE15" s="30"/>
      <c r="BF15" s="2"/>
      <c r="BG15" s="53"/>
      <c r="BH15" s="470"/>
      <c r="BI15" s="471"/>
      <c r="BJ15" s="471"/>
      <c r="BK15" s="470"/>
      <c r="BL15" s="471"/>
      <c r="BM15" s="472"/>
      <c r="BN15" s="470"/>
      <c r="BO15" s="471"/>
      <c r="BP15" s="471"/>
      <c r="BQ15" s="470"/>
      <c r="BR15" s="471"/>
      <c r="BS15" s="472"/>
      <c r="BT15" s="470"/>
      <c r="BU15" s="471"/>
      <c r="BV15" s="471"/>
      <c r="BW15" s="470"/>
      <c r="BX15" s="471"/>
      <c r="BY15" s="472"/>
      <c r="BZ15" s="470"/>
      <c r="CA15" s="471"/>
      <c r="CB15" s="471"/>
      <c r="CC15" s="470"/>
      <c r="CD15" s="471"/>
      <c r="CE15" s="472"/>
      <c r="CF15" s="470"/>
      <c r="CG15" s="471"/>
      <c r="CH15" s="471"/>
      <c r="CI15" s="470"/>
      <c r="CJ15" s="471"/>
      <c r="CK15" s="472"/>
      <c r="CL15" s="2"/>
      <c r="CM15" s="31"/>
      <c r="CN15" s="31"/>
      <c r="CO15" s="32"/>
      <c r="CP15" s="2"/>
      <c r="CQ15" s="2"/>
      <c r="CR15" s="2"/>
      <c r="CS15" s="31"/>
      <c r="CT15" s="31"/>
      <c r="CU15" s="32"/>
      <c r="CV15" s="2"/>
      <c r="CW15" s="2"/>
      <c r="CX15" s="2"/>
    </row>
    <row r="16" spans="2:102" ht="11" thickBot="1" x14ac:dyDescent="0.3">
      <c r="B16" s="156" t="str">
        <f>ProductTable!V20</f>
        <v>AR9382</v>
      </c>
      <c r="C16" s="156" t="str">
        <f>"TDWLANModule!F"&amp;(CT_HELP!$A$6+14*(CT_HELP!A16-3))&amp;":CK"&amp;CT_HELP!$A$16+14*(CT_HELP!A16-3)</f>
        <v>TDWLANModule!F188:CK198</v>
      </c>
      <c r="D16" s="106" t="b">
        <v>1</v>
      </c>
      <c r="E16" s="27"/>
      <c r="F16" s="316">
        <v>54</v>
      </c>
      <c r="G16" s="317">
        <v>14</v>
      </c>
      <c r="H16" s="317">
        <v>-66</v>
      </c>
      <c r="I16" s="300"/>
      <c r="J16" s="55"/>
      <c r="K16" s="56"/>
      <c r="L16" s="473"/>
      <c r="M16" s="474"/>
      <c r="N16" s="474"/>
      <c r="O16" s="473"/>
      <c r="P16" s="474"/>
      <c r="Q16" s="475"/>
      <c r="R16" s="316"/>
      <c r="S16" s="303"/>
      <c r="T16" s="317"/>
      <c r="U16" s="318"/>
      <c r="V16" s="55"/>
      <c r="W16" s="56"/>
      <c r="X16" s="473"/>
      <c r="Y16" s="474"/>
      <c r="Z16" s="474"/>
      <c r="AA16" s="473"/>
      <c r="AB16" s="474"/>
      <c r="AC16" s="475"/>
      <c r="AD16" s="473"/>
      <c r="AE16" s="474"/>
      <c r="AF16" s="474"/>
      <c r="AG16" s="473"/>
      <c r="AH16" s="474"/>
      <c r="AI16" s="475"/>
      <c r="AJ16" s="473"/>
      <c r="AK16" s="474"/>
      <c r="AL16" s="474"/>
      <c r="AM16" s="473"/>
      <c r="AN16" s="474"/>
      <c r="AO16" s="475"/>
      <c r="AP16" s="473"/>
      <c r="AQ16" s="474"/>
      <c r="AR16" s="474"/>
      <c r="AS16" s="473"/>
      <c r="AT16" s="474"/>
      <c r="AU16" s="475"/>
      <c r="AV16" s="473"/>
      <c r="AW16" s="474"/>
      <c r="AX16" s="474"/>
      <c r="AY16" s="473"/>
      <c r="AZ16" s="474"/>
      <c r="BA16" s="475"/>
      <c r="BB16" s="316"/>
      <c r="BC16" s="303"/>
      <c r="BD16" s="317"/>
      <c r="BE16" s="318"/>
      <c r="BF16" s="55"/>
      <c r="BG16" s="56"/>
      <c r="BH16" s="473"/>
      <c r="BI16" s="474"/>
      <c r="BJ16" s="474"/>
      <c r="BK16" s="473"/>
      <c r="BL16" s="474"/>
      <c r="BM16" s="475"/>
      <c r="BN16" s="473"/>
      <c r="BO16" s="474"/>
      <c r="BP16" s="474"/>
      <c r="BQ16" s="473"/>
      <c r="BR16" s="474"/>
      <c r="BS16" s="475"/>
      <c r="BT16" s="473"/>
      <c r="BU16" s="474"/>
      <c r="BV16" s="474"/>
      <c r="BW16" s="473"/>
      <c r="BX16" s="474"/>
      <c r="BY16" s="475"/>
      <c r="BZ16" s="473"/>
      <c r="CA16" s="474"/>
      <c r="CB16" s="474"/>
      <c r="CC16" s="473"/>
      <c r="CD16" s="474"/>
      <c r="CE16" s="475"/>
      <c r="CF16" s="473"/>
      <c r="CG16" s="474"/>
      <c r="CH16" s="474"/>
      <c r="CI16" s="473"/>
      <c r="CJ16" s="474"/>
      <c r="CK16" s="475"/>
      <c r="CL16" s="2"/>
      <c r="CM16" s="31"/>
      <c r="CN16" s="31"/>
      <c r="CO16" s="32"/>
      <c r="CP16" s="2"/>
      <c r="CQ16" s="2"/>
      <c r="CR16" s="2"/>
      <c r="CS16" s="31"/>
      <c r="CT16" s="31"/>
      <c r="CU16" s="32"/>
      <c r="CV16" s="2"/>
      <c r="CW16" s="2"/>
      <c r="CX16" s="2"/>
    </row>
    <row r="17" spans="2:89" ht="10.5" x14ac:dyDescent="0.25">
      <c r="B17" s="156" t="str">
        <f>ProductTable!V21</f>
        <v>QCA9880</v>
      </c>
      <c r="C17" s="156" t="str">
        <f>"TDWLANModule!F"&amp;(CT_HELP!$A$6+14*(CT_HELP!A17-3))&amp;":CK"&amp;CT_HELP!$A$16+14*(CT_HELP!A17-3)</f>
        <v>TDWLANModule!F202:CK212</v>
      </c>
      <c r="D17" s="106" t="b">
        <v>1</v>
      </c>
      <c r="E17" s="27"/>
      <c r="F17" s="25"/>
      <c r="G17" s="25"/>
      <c r="H17" s="25"/>
      <c r="I17" s="25"/>
      <c r="J17" s="25"/>
      <c r="K17" s="32"/>
      <c r="L17" s="32"/>
      <c r="M17" s="32"/>
      <c r="N17" s="32"/>
      <c r="O17" s="32"/>
      <c r="P17" s="32"/>
      <c r="Q17" s="32"/>
      <c r="R17" s="32"/>
      <c r="S17" s="32"/>
      <c r="T17" s="32"/>
      <c r="U17" s="32"/>
      <c r="V17" s="2"/>
      <c r="W17" s="2"/>
      <c r="X17" s="2"/>
      <c r="Y17" s="2"/>
      <c r="Z17" s="2"/>
      <c r="AA17" s="2"/>
      <c r="AB17" s="2"/>
      <c r="AC17" s="2"/>
    </row>
    <row r="18" spans="2:89" ht="10.5" x14ac:dyDescent="0.25">
      <c r="B18" s="156" t="str">
        <f>ProductTable!V22</f>
        <v>QCA9882</v>
      </c>
      <c r="C18" s="156" t="str">
        <f>"TDWLANModule!F"&amp;(CT_HELP!$A$6+14*(CT_HELP!A18-3))&amp;":CK"&amp;CT_HELP!$A$16+14*(CT_HELP!A18-3)</f>
        <v>TDWLANModule!F216:CK226</v>
      </c>
      <c r="D18" s="106" t="b">
        <v>1</v>
      </c>
      <c r="E18" s="27"/>
      <c r="F18" s="26" t="s">
        <v>0</v>
      </c>
      <c r="G18" s="26"/>
      <c r="H18" s="26"/>
      <c r="I18" s="26"/>
      <c r="J18" s="26"/>
      <c r="K18" s="26"/>
      <c r="L18" s="32"/>
      <c r="M18" s="32"/>
      <c r="N18" s="32"/>
      <c r="O18" s="32"/>
      <c r="P18" s="32"/>
      <c r="Q18" s="32"/>
      <c r="R18" s="26" t="s">
        <v>1</v>
      </c>
      <c r="S18" s="25"/>
      <c r="T18" s="25"/>
      <c r="U18" s="25"/>
      <c r="X18" s="2"/>
      <c r="Y18" s="2"/>
      <c r="Z18" s="2"/>
      <c r="AA18" s="2"/>
      <c r="AB18" s="2"/>
      <c r="AC18" s="2"/>
      <c r="AD18" s="853" t="s">
        <v>410</v>
      </c>
      <c r="AE18" s="852"/>
      <c r="AF18" s="852"/>
      <c r="AG18" s="852"/>
      <c r="AP18" s="853" t="s">
        <v>411</v>
      </c>
      <c r="AQ18" s="852"/>
      <c r="AR18" s="852"/>
      <c r="AS18" s="852"/>
      <c r="BB18" s="44" t="s">
        <v>223</v>
      </c>
      <c r="BN18" s="44" t="s">
        <v>351</v>
      </c>
      <c r="BZ18" s="44" t="s">
        <v>515</v>
      </c>
      <c r="CF18" s="2"/>
      <c r="CG18" s="2"/>
      <c r="CH18" s="2"/>
      <c r="CI18" s="2"/>
      <c r="CJ18" s="2"/>
      <c r="CK18" s="2"/>
    </row>
    <row r="19" spans="2:89" ht="11" thickBot="1" x14ac:dyDescent="0.3">
      <c r="B19" s="156" t="str">
        <f>ProductTable!V23</f>
        <v>AR9592</v>
      </c>
      <c r="C19" s="156" t="str">
        <f>"TDWLANModule!F"&amp;(CT_HELP!$A$6+14*(CT_HELP!A19-3))&amp;":CK"&amp;CT_HELP!$A$16+14*(CT_HELP!A19-3)</f>
        <v>TDWLANModule!F230:CK240</v>
      </c>
      <c r="D19" s="106" t="b">
        <v>1</v>
      </c>
      <c r="F19" s="26" t="s">
        <v>113</v>
      </c>
      <c r="G19" s="26" t="s">
        <v>108</v>
      </c>
      <c r="H19" s="26" t="s">
        <v>109</v>
      </c>
      <c r="I19" s="26" t="s">
        <v>110</v>
      </c>
      <c r="J19" s="26" t="s">
        <v>111</v>
      </c>
      <c r="K19" s="26" t="s">
        <v>112</v>
      </c>
      <c r="L19" s="32"/>
      <c r="M19" s="32"/>
      <c r="N19" s="32"/>
      <c r="O19" s="32"/>
      <c r="P19" s="32"/>
      <c r="Q19" s="32"/>
      <c r="R19" s="26" t="s">
        <v>113</v>
      </c>
      <c r="S19" s="159" t="s">
        <v>108</v>
      </c>
      <c r="T19" s="159" t="s">
        <v>109</v>
      </c>
      <c r="U19" s="26" t="s">
        <v>110</v>
      </c>
      <c r="V19" s="26" t="s">
        <v>111</v>
      </c>
      <c r="W19" s="26" t="s">
        <v>112</v>
      </c>
      <c r="X19" s="2"/>
      <c r="Y19" s="2"/>
      <c r="Z19" s="2"/>
      <c r="AA19" s="2"/>
      <c r="AB19" s="2"/>
      <c r="AC19" s="2"/>
      <c r="AD19" s="159" t="s">
        <v>88</v>
      </c>
      <c r="AE19" s="159" t="s">
        <v>83</v>
      </c>
      <c r="AF19" s="159" t="s">
        <v>84</v>
      </c>
      <c r="AG19" s="159" t="s">
        <v>87</v>
      </c>
      <c r="AH19" s="159" t="s">
        <v>85</v>
      </c>
      <c r="AI19" s="159" t="s">
        <v>86</v>
      </c>
      <c r="AP19" s="159" t="s">
        <v>88</v>
      </c>
      <c r="AQ19" s="159" t="s">
        <v>83</v>
      </c>
      <c r="AR19" s="159" t="s">
        <v>84</v>
      </c>
      <c r="AS19" s="159" t="s">
        <v>87</v>
      </c>
      <c r="AT19" s="159" t="s">
        <v>85</v>
      </c>
      <c r="AU19" s="159" t="s">
        <v>86</v>
      </c>
      <c r="BB19" s="102" t="s">
        <v>88</v>
      </c>
      <c r="BC19" s="102" t="s">
        <v>83</v>
      </c>
      <c r="BD19" s="102" t="s">
        <v>84</v>
      </c>
      <c r="BE19" s="102" t="s">
        <v>87</v>
      </c>
      <c r="BF19" s="102" t="s">
        <v>85</v>
      </c>
      <c r="BG19" s="102" t="s">
        <v>86</v>
      </c>
      <c r="BN19" s="102" t="s">
        <v>88</v>
      </c>
      <c r="BO19" s="102" t="s">
        <v>83</v>
      </c>
      <c r="BP19" s="102" t="s">
        <v>84</v>
      </c>
      <c r="BQ19" s="102" t="s">
        <v>87</v>
      </c>
      <c r="BR19" s="102" t="s">
        <v>85</v>
      </c>
      <c r="BS19" s="102" t="s">
        <v>86</v>
      </c>
      <c r="BZ19" s="102" t="s">
        <v>88</v>
      </c>
      <c r="CA19" s="102" t="s">
        <v>83</v>
      </c>
      <c r="CB19" s="102" t="s">
        <v>84</v>
      </c>
      <c r="CC19" s="102" t="s">
        <v>87</v>
      </c>
      <c r="CD19" s="102" t="s">
        <v>85</v>
      </c>
      <c r="CE19" s="102" t="s">
        <v>86</v>
      </c>
      <c r="CF19" s="102" t="s">
        <v>512</v>
      </c>
      <c r="CG19" s="102" t="s">
        <v>514</v>
      </c>
      <c r="CH19" s="102" t="s">
        <v>513</v>
      </c>
      <c r="CI19" s="102" t="s">
        <v>516</v>
      </c>
      <c r="CJ19" s="102" t="s">
        <v>517</v>
      </c>
      <c r="CK19" s="102" t="s">
        <v>518</v>
      </c>
    </row>
    <row r="20" spans="2:89" x14ac:dyDescent="0.2">
      <c r="B20" s="156" t="str">
        <f>ProductTable!V24</f>
        <v>QCA9880 (2x2)</v>
      </c>
      <c r="C20" s="156" t="str">
        <f>"TDWLANModule!F"&amp;(CT_HELP!$A$6+14*(CT_HELP!A20-3))&amp;":CK"&amp;CT_HELP!$A$16+14*(CT_HELP!A20-3)</f>
        <v>TDWLANModule!F244:CK254</v>
      </c>
      <c r="D20" s="106" t="b">
        <v>1</v>
      </c>
      <c r="E20" s="34" t="s">
        <v>25</v>
      </c>
      <c r="F20" s="310">
        <v>1</v>
      </c>
      <c r="G20" s="311">
        <v>20</v>
      </c>
      <c r="H20" s="311">
        <v>-95</v>
      </c>
      <c r="I20" s="295">
        <v>12</v>
      </c>
      <c r="J20" s="301">
        <v>17</v>
      </c>
      <c r="K20" s="687">
        <v>-87</v>
      </c>
      <c r="L20" s="467"/>
      <c r="M20" s="468"/>
      <c r="N20" s="468"/>
      <c r="O20" s="467"/>
      <c r="P20" s="468"/>
      <c r="Q20" s="683"/>
      <c r="R20" s="29">
        <v>6</v>
      </c>
      <c r="S20" s="120">
        <v>14</v>
      </c>
      <c r="T20" s="29">
        <v>-88</v>
      </c>
      <c r="U20" s="28">
        <v>12</v>
      </c>
      <c r="V20" s="96">
        <v>17.5</v>
      </c>
      <c r="W20" s="9">
        <v>-85</v>
      </c>
      <c r="X20" s="467"/>
      <c r="Y20" s="468"/>
      <c r="Z20" s="468"/>
      <c r="AA20" s="467"/>
      <c r="AB20" s="468"/>
      <c r="AC20" s="469"/>
      <c r="AD20" s="467"/>
      <c r="AE20" s="468"/>
      <c r="AF20" s="468"/>
      <c r="AG20" s="467"/>
      <c r="AH20" s="468"/>
      <c r="AI20" s="469"/>
      <c r="AJ20" s="467"/>
      <c r="AK20" s="468"/>
      <c r="AL20" s="468"/>
      <c r="AM20" s="467"/>
      <c r="AN20" s="468"/>
      <c r="AO20" s="469"/>
      <c r="AP20" s="467"/>
      <c r="AQ20" s="468"/>
      <c r="AR20" s="468"/>
      <c r="AS20" s="467"/>
      <c r="AT20" s="468"/>
      <c r="AU20" s="469"/>
      <c r="AV20" s="467"/>
      <c r="AW20" s="468"/>
      <c r="AX20" s="468"/>
      <c r="AY20" s="467"/>
      <c r="AZ20" s="468"/>
      <c r="BA20" s="469"/>
      <c r="BB20" s="28">
        <v>6</v>
      </c>
      <c r="BC20" s="120">
        <v>14</v>
      </c>
      <c r="BD20" s="29">
        <v>-88</v>
      </c>
      <c r="BE20" s="28">
        <v>12</v>
      </c>
      <c r="BF20" s="96">
        <v>17.5</v>
      </c>
      <c r="BG20" s="9">
        <v>-85</v>
      </c>
      <c r="BH20" s="467"/>
      <c r="BI20" s="468"/>
      <c r="BJ20" s="468"/>
      <c r="BK20" s="467"/>
      <c r="BL20" s="468"/>
      <c r="BM20" s="469"/>
      <c r="BN20" s="467"/>
      <c r="BO20" s="468"/>
      <c r="BP20" s="468"/>
      <c r="BQ20" s="467"/>
      <c r="BR20" s="468"/>
      <c r="BS20" s="469"/>
      <c r="BT20" s="467"/>
      <c r="BU20" s="468"/>
      <c r="BV20" s="468"/>
      <c r="BW20" s="467"/>
      <c r="BX20" s="468"/>
      <c r="BY20" s="469"/>
      <c r="BZ20" s="467"/>
      <c r="CA20" s="468"/>
      <c r="CB20" s="468"/>
      <c r="CC20" s="467"/>
      <c r="CD20" s="468"/>
      <c r="CE20" s="469"/>
      <c r="CF20" s="467"/>
      <c r="CG20" s="468"/>
      <c r="CH20" s="468"/>
      <c r="CI20" s="467"/>
      <c r="CJ20" s="468"/>
      <c r="CK20" s="469"/>
    </row>
    <row r="21" spans="2:89" x14ac:dyDescent="0.2">
      <c r="B21" s="156" t="str">
        <f>ProductTable!V25</f>
        <v>QCA9984</v>
      </c>
      <c r="C21" s="156" t="str">
        <f>"TDWLANModule!F"&amp;(CT_HELP!$A$6+14*(CT_HELP!A21-3))&amp;":CK"&amp;CT_HELP!$A$16+14*(CT_HELP!A21-3)</f>
        <v>TDWLANModule!F258:CK268</v>
      </c>
      <c r="D21" s="106" t="b">
        <v>1</v>
      </c>
      <c r="E21" s="233" t="s">
        <v>289</v>
      </c>
      <c r="F21" s="314">
        <v>5.5</v>
      </c>
      <c r="G21" s="32">
        <v>20</v>
      </c>
      <c r="H21" s="32">
        <v>-91</v>
      </c>
      <c r="I21" s="6">
        <v>18</v>
      </c>
      <c r="J21" s="31">
        <v>17</v>
      </c>
      <c r="K21" s="99">
        <v>-86</v>
      </c>
      <c r="L21" s="470"/>
      <c r="M21" s="471"/>
      <c r="N21" s="471"/>
      <c r="O21" s="470"/>
      <c r="P21" s="471"/>
      <c r="Q21" s="684"/>
      <c r="R21" s="32">
        <v>9</v>
      </c>
      <c r="S21" s="35">
        <v>14</v>
      </c>
      <c r="T21" s="32">
        <v>-87</v>
      </c>
      <c r="U21" s="30">
        <v>18</v>
      </c>
      <c r="V21" s="24">
        <v>17.5</v>
      </c>
      <c r="W21" s="10">
        <v>-84</v>
      </c>
      <c r="X21" s="470"/>
      <c r="Y21" s="471"/>
      <c r="Z21" s="471"/>
      <c r="AA21" s="470"/>
      <c r="AB21" s="471"/>
      <c r="AC21" s="472"/>
      <c r="AD21" s="470"/>
      <c r="AE21" s="471"/>
      <c r="AF21" s="471"/>
      <c r="AG21" s="470"/>
      <c r="AH21" s="471"/>
      <c r="AI21" s="472"/>
      <c r="AJ21" s="470"/>
      <c r="AK21" s="471"/>
      <c r="AL21" s="471"/>
      <c r="AM21" s="470"/>
      <c r="AN21" s="471"/>
      <c r="AO21" s="472"/>
      <c r="AP21" s="470"/>
      <c r="AQ21" s="471"/>
      <c r="AR21" s="471"/>
      <c r="AS21" s="470"/>
      <c r="AT21" s="471"/>
      <c r="AU21" s="472"/>
      <c r="AV21" s="470"/>
      <c r="AW21" s="471"/>
      <c r="AX21" s="471"/>
      <c r="AY21" s="470"/>
      <c r="AZ21" s="471"/>
      <c r="BA21" s="472"/>
      <c r="BB21" s="30">
        <v>9</v>
      </c>
      <c r="BC21" s="35">
        <v>14</v>
      </c>
      <c r="BD21" s="32">
        <v>-87</v>
      </c>
      <c r="BE21" s="30">
        <v>18</v>
      </c>
      <c r="BF21" s="24">
        <v>17.5</v>
      </c>
      <c r="BG21" s="10">
        <v>-84</v>
      </c>
      <c r="BH21" s="470"/>
      <c r="BI21" s="471"/>
      <c r="BJ21" s="471"/>
      <c r="BK21" s="470"/>
      <c r="BL21" s="471"/>
      <c r="BM21" s="472"/>
      <c r="BN21" s="470"/>
      <c r="BO21" s="471"/>
      <c r="BP21" s="471"/>
      <c r="BQ21" s="470"/>
      <c r="BR21" s="471"/>
      <c r="BS21" s="472"/>
      <c r="BT21" s="470"/>
      <c r="BU21" s="471"/>
      <c r="BV21" s="471"/>
      <c r="BW21" s="470"/>
      <c r="BX21" s="471"/>
      <c r="BY21" s="472"/>
      <c r="BZ21" s="470"/>
      <c r="CA21" s="471"/>
      <c r="CB21" s="471"/>
      <c r="CC21" s="470"/>
      <c r="CD21" s="471"/>
      <c r="CE21" s="472"/>
      <c r="CF21" s="470"/>
      <c r="CG21" s="471"/>
      <c r="CH21" s="471"/>
      <c r="CI21" s="470"/>
      <c r="CJ21" s="471"/>
      <c r="CK21" s="472"/>
    </row>
    <row r="22" spans="2:89" ht="10.5" x14ac:dyDescent="0.25">
      <c r="B22" s="156" t="str">
        <f>ProductTable!V26</f>
        <v>QCA9888</v>
      </c>
      <c r="C22" s="156" t="str">
        <f>"TDWLANModule!F"&amp;(CT_HELP!$A$6+14*(CT_HELP!A22-3))&amp;":CK"&amp;CT_HELP!$A$16+14*(CT_HELP!A22-3)</f>
        <v>TDWLANModule!F272:CK282</v>
      </c>
      <c r="D22" s="106" t="b">
        <v>1</v>
      </c>
      <c r="E22" s="27"/>
      <c r="F22" s="315">
        <v>6</v>
      </c>
      <c r="G22" s="32">
        <v>20</v>
      </c>
      <c r="H22" s="32">
        <v>-90</v>
      </c>
      <c r="I22" s="6">
        <v>24</v>
      </c>
      <c r="J22" s="31">
        <v>17</v>
      </c>
      <c r="K22" s="99">
        <v>-85</v>
      </c>
      <c r="L22" s="470"/>
      <c r="M22" s="471"/>
      <c r="N22" s="471"/>
      <c r="O22" s="470"/>
      <c r="P22" s="471"/>
      <c r="Q22" s="684"/>
      <c r="R22" s="32">
        <v>12</v>
      </c>
      <c r="S22" s="35">
        <v>14</v>
      </c>
      <c r="T22" s="32">
        <v>-86</v>
      </c>
      <c r="U22" s="30">
        <v>24</v>
      </c>
      <c r="V22" s="24">
        <v>17.5</v>
      </c>
      <c r="W22" s="10">
        <v>-83</v>
      </c>
      <c r="X22" s="470"/>
      <c r="Y22" s="471"/>
      <c r="Z22" s="471"/>
      <c r="AA22" s="470"/>
      <c r="AB22" s="471"/>
      <c r="AC22" s="472"/>
      <c r="AD22" s="470"/>
      <c r="AE22" s="471"/>
      <c r="AF22" s="471"/>
      <c r="AG22" s="470"/>
      <c r="AH22" s="471"/>
      <c r="AI22" s="472"/>
      <c r="AJ22" s="470"/>
      <c r="AK22" s="471"/>
      <c r="AL22" s="471"/>
      <c r="AM22" s="470"/>
      <c r="AN22" s="471"/>
      <c r="AO22" s="472"/>
      <c r="AP22" s="470"/>
      <c r="AQ22" s="471"/>
      <c r="AR22" s="471"/>
      <c r="AS22" s="470"/>
      <c r="AT22" s="471"/>
      <c r="AU22" s="472"/>
      <c r="AV22" s="470"/>
      <c r="AW22" s="471"/>
      <c r="AX22" s="471"/>
      <c r="AY22" s="470"/>
      <c r="AZ22" s="471"/>
      <c r="BA22" s="472"/>
      <c r="BB22" s="30">
        <v>12</v>
      </c>
      <c r="BC22" s="35">
        <v>14</v>
      </c>
      <c r="BD22" s="32">
        <v>-86</v>
      </c>
      <c r="BE22" s="30">
        <v>24</v>
      </c>
      <c r="BF22" s="24">
        <v>17.5</v>
      </c>
      <c r="BG22" s="10">
        <v>-83</v>
      </c>
      <c r="BH22" s="470"/>
      <c r="BI22" s="471"/>
      <c r="BJ22" s="471"/>
      <c r="BK22" s="470"/>
      <c r="BL22" s="471"/>
      <c r="BM22" s="472"/>
      <c r="BN22" s="470"/>
      <c r="BO22" s="471"/>
      <c r="BP22" s="471"/>
      <c r="BQ22" s="470"/>
      <c r="BR22" s="471"/>
      <c r="BS22" s="472"/>
      <c r="BT22" s="470"/>
      <c r="BU22" s="471"/>
      <c r="BV22" s="471"/>
      <c r="BW22" s="470"/>
      <c r="BX22" s="471"/>
      <c r="BY22" s="472"/>
      <c r="BZ22" s="470"/>
      <c r="CA22" s="471"/>
      <c r="CB22" s="471"/>
      <c r="CC22" s="470"/>
      <c r="CD22" s="471"/>
      <c r="CE22" s="472"/>
      <c r="CF22" s="470"/>
      <c r="CG22" s="471"/>
      <c r="CH22" s="471"/>
      <c r="CI22" s="470"/>
      <c r="CJ22" s="471"/>
      <c r="CK22" s="472"/>
    </row>
    <row r="23" spans="2:89" ht="10.5" x14ac:dyDescent="0.25">
      <c r="B23" s="156" t="str">
        <f>ProductTable!V27</f>
        <v>AR9390 (2x2)</v>
      </c>
      <c r="C23" s="156" t="str">
        <f>"TDWLANModule!F"&amp;(CT_HELP!$A$6+14*(CT_HELP!A23-3))&amp;":CK"&amp;CT_HELP!$A$16+14*(CT_HELP!A23-3)</f>
        <v>TDWLANModule!F286:CK296</v>
      </c>
      <c r="D23" s="106" t="b">
        <v>1</v>
      </c>
      <c r="E23" s="27"/>
      <c r="F23" s="315">
        <v>9</v>
      </c>
      <c r="G23" s="32">
        <v>20</v>
      </c>
      <c r="H23" s="32">
        <v>-89</v>
      </c>
      <c r="I23" s="6">
        <v>36</v>
      </c>
      <c r="J23" s="31">
        <v>17</v>
      </c>
      <c r="K23" s="99">
        <v>-84</v>
      </c>
      <c r="L23" s="470"/>
      <c r="M23" s="471"/>
      <c r="N23" s="471"/>
      <c r="O23" s="470"/>
      <c r="P23" s="471"/>
      <c r="Q23" s="684"/>
      <c r="R23" s="32">
        <v>18</v>
      </c>
      <c r="S23" s="35">
        <v>14</v>
      </c>
      <c r="T23" s="32">
        <v>-85</v>
      </c>
      <c r="U23" s="30">
        <v>36</v>
      </c>
      <c r="V23" s="24">
        <v>17.5</v>
      </c>
      <c r="W23" s="10">
        <v>-82</v>
      </c>
      <c r="X23" s="470"/>
      <c r="Y23" s="471"/>
      <c r="Z23" s="471"/>
      <c r="AA23" s="470"/>
      <c r="AB23" s="471"/>
      <c r="AC23" s="472"/>
      <c r="AD23" s="470"/>
      <c r="AE23" s="471"/>
      <c r="AF23" s="471"/>
      <c r="AG23" s="470"/>
      <c r="AH23" s="471"/>
      <c r="AI23" s="472"/>
      <c r="AJ23" s="470"/>
      <c r="AK23" s="471"/>
      <c r="AL23" s="471"/>
      <c r="AM23" s="470"/>
      <c r="AN23" s="471"/>
      <c r="AO23" s="472"/>
      <c r="AP23" s="470"/>
      <c r="AQ23" s="471"/>
      <c r="AR23" s="471"/>
      <c r="AS23" s="470"/>
      <c r="AT23" s="471"/>
      <c r="AU23" s="472"/>
      <c r="AV23" s="470"/>
      <c r="AW23" s="471"/>
      <c r="AX23" s="471"/>
      <c r="AY23" s="470"/>
      <c r="AZ23" s="471"/>
      <c r="BA23" s="472"/>
      <c r="BB23" s="30">
        <v>18</v>
      </c>
      <c r="BC23" s="35">
        <v>14</v>
      </c>
      <c r="BD23" s="32">
        <v>-85</v>
      </c>
      <c r="BE23" s="30">
        <v>36</v>
      </c>
      <c r="BF23" s="24">
        <v>17.5</v>
      </c>
      <c r="BG23" s="10">
        <v>-82</v>
      </c>
      <c r="BH23" s="470"/>
      <c r="BI23" s="471"/>
      <c r="BJ23" s="471"/>
      <c r="BK23" s="470"/>
      <c r="BL23" s="471"/>
      <c r="BM23" s="472"/>
      <c r="BN23" s="470"/>
      <c r="BO23" s="471"/>
      <c r="BP23" s="471"/>
      <c r="BQ23" s="470"/>
      <c r="BR23" s="471"/>
      <c r="BS23" s="472"/>
      <c r="BT23" s="470"/>
      <c r="BU23" s="471"/>
      <c r="BV23" s="471"/>
      <c r="BW23" s="470"/>
      <c r="BX23" s="471"/>
      <c r="BY23" s="472"/>
      <c r="BZ23" s="470"/>
      <c r="CA23" s="471"/>
      <c r="CB23" s="471"/>
      <c r="CC23" s="470"/>
      <c r="CD23" s="471"/>
      <c r="CE23" s="472"/>
      <c r="CF23" s="470"/>
      <c r="CG23" s="471"/>
      <c r="CH23" s="471"/>
      <c r="CI23" s="470"/>
      <c r="CJ23" s="471"/>
      <c r="CK23" s="472"/>
    </row>
    <row r="24" spans="2:89" ht="10.5" x14ac:dyDescent="0.25">
      <c r="B24" s="156" t="str">
        <f>ProductTable!V28</f>
        <v>QCA9892</v>
      </c>
      <c r="C24" s="156" t="str">
        <f>"TDWLANModule!F"&amp;(CT_HELP!$A$6+14*(CT_HELP!A24-3))&amp;":CK"&amp;CT_HELP!$A$16+14*(CT_HELP!A24-3)</f>
        <v>TDWLANModule!F300:CK310</v>
      </c>
      <c r="D24" s="106" t="b">
        <v>1</v>
      </c>
      <c r="E24" s="27"/>
      <c r="F24" s="315">
        <v>11</v>
      </c>
      <c r="G24" s="32">
        <v>20</v>
      </c>
      <c r="H24" s="32">
        <v>-89</v>
      </c>
      <c r="I24" s="6">
        <v>48</v>
      </c>
      <c r="J24" s="31">
        <v>17</v>
      </c>
      <c r="K24" s="99">
        <v>-81</v>
      </c>
      <c r="L24" s="470"/>
      <c r="M24" s="471"/>
      <c r="N24" s="471"/>
      <c r="O24" s="470"/>
      <c r="P24" s="471"/>
      <c r="Q24" s="684"/>
      <c r="R24" s="32">
        <v>24</v>
      </c>
      <c r="S24" s="35">
        <v>14</v>
      </c>
      <c r="T24" s="32">
        <v>-82</v>
      </c>
      <c r="U24" s="30">
        <v>48</v>
      </c>
      <c r="V24" s="24">
        <v>17.5</v>
      </c>
      <c r="W24" s="10">
        <v>-79</v>
      </c>
      <c r="X24" s="470"/>
      <c r="Y24" s="471"/>
      <c r="Z24" s="471"/>
      <c r="AA24" s="470"/>
      <c r="AB24" s="471"/>
      <c r="AC24" s="472"/>
      <c r="AD24" s="470"/>
      <c r="AE24" s="471"/>
      <c r="AF24" s="471"/>
      <c r="AG24" s="470"/>
      <c r="AH24" s="471"/>
      <c r="AI24" s="472"/>
      <c r="AJ24" s="470"/>
      <c r="AK24" s="471"/>
      <c r="AL24" s="471"/>
      <c r="AM24" s="470"/>
      <c r="AN24" s="471"/>
      <c r="AO24" s="472"/>
      <c r="AP24" s="470"/>
      <c r="AQ24" s="471"/>
      <c r="AR24" s="471"/>
      <c r="AS24" s="470"/>
      <c r="AT24" s="471"/>
      <c r="AU24" s="472"/>
      <c r="AV24" s="470"/>
      <c r="AW24" s="471"/>
      <c r="AX24" s="471"/>
      <c r="AY24" s="470"/>
      <c r="AZ24" s="471"/>
      <c r="BA24" s="472"/>
      <c r="BB24" s="30">
        <v>24</v>
      </c>
      <c r="BC24" s="35">
        <v>14</v>
      </c>
      <c r="BD24" s="32">
        <v>-82</v>
      </c>
      <c r="BE24" s="30">
        <v>48</v>
      </c>
      <c r="BF24" s="24">
        <v>17.5</v>
      </c>
      <c r="BG24" s="10">
        <v>-79</v>
      </c>
      <c r="BH24" s="470"/>
      <c r="BI24" s="471"/>
      <c r="BJ24" s="471"/>
      <c r="BK24" s="470"/>
      <c r="BL24" s="471"/>
      <c r="BM24" s="472"/>
      <c r="BN24" s="470"/>
      <c r="BO24" s="471"/>
      <c r="BP24" s="471"/>
      <c r="BQ24" s="470"/>
      <c r="BR24" s="471"/>
      <c r="BS24" s="472"/>
      <c r="BT24" s="470"/>
      <c r="BU24" s="471"/>
      <c r="BV24" s="471"/>
      <c r="BW24" s="470"/>
      <c r="BX24" s="471"/>
      <c r="BY24" s="472"/>
      <c r="BZ24" s="470"/>
      <c r="CA24" s="471"/>
      <c r="CB24" s="471"/>
      <c r="CC24" s="470"/>
      <c r="CD24" s="471"/>
      <c r="CE24" s="472"/>
      <c r="CF24" s="470"/>
      <c r="CG24" s="471"/>
      <c r="CH24" s="471"/>
      <c r="CI24" s="470"/>
      <c r="CJ24" s="471"/>
      <c r="CK24" s="472"/>
    </row>
    <row r="25" spans="2:89" ht="10.5" x14ac:dyDescent="0.25">
      <c r="B25" s="156" t="s">
        <v>684</v>
      </c>
      <c r="C25" s="156" t="str">
        <f>"TDWLANModule!F"&amp;(CT_HELP!$A$6+14*(CT_HELP!A25-3))&amp;":CK"&amp;CT_HELP!$A$16+14*(CT_HELP!A25-3)</f>
        <v>TDWLANModule!F314:CK324</v>
      </c>
      <c r="D25" s="106" t="b">
        <v>1</v>
      </c>
      <c r="E25" s="27"/>
      <c r="F25" s="315">
        <v>12</v>
      </c>
      <c r="G25" s="32">
        <v>20</v>
      </c>
      <c r="H25" s="32">
        <v>-88</v>
      </c>
      <c r="I25" s="6">
        <v>72</v>
      </c>
      <c r="J25" s="31">
        <v>17</v>
      </c>
      <c r="K25" s="99">
        <v>-78</v>
      </c>
      <c r="L25" s="470"/>
      <c r="M25" s="471"/>
      <c r="N25" s="471"/>
      <c r="O25" s="470"/>
      <c r="P25" s="471"/>
      <c r="Q25" s="684"/>
      <c r="R25" s="32">
        <v>36</v>
      </c>
      <c r="S25" s="35">
        <v>14</v>
      </c>
      <c r="T25" s="32">
        <v>-79</v>
      </c>
      <c r="U25" s="30">
        <v>72</v>
      </c>
      <c r="V25" s="24">
        <v>15.5</v>
      </c>
      <c r="W25" s="10">
        <v>-76</v>
      </c>
      <c r="X25" s="470"/>
      <c r="Y25" s="471"/>
      <c r="Z25" s="471"/>
      <c r="AA25" s="470"/>
      <c r="AB25" s="471"/>
      <c r="AC25" s="472"/>
      <c r="AD25" s="470"/>
      <c r="AE25" s="471"/>
      <c r="AF25" s="471"/>
      <c r="AG25" s="470"/>
      <c r="AH25" s="471"/>
      <c r="AI25" s="472"/>
      <c r="AJ25" s="470"/>
      <c r="AK25" s="471"/>
      <c r="AL25" s="471"/>
      <c r="AM25" s="470"/>
      <c r="AN25" s="471"/>
      <c r="AO25" s="472"/>
      <c r="AP25" s="470"/>
      <c r="AQ25" s="471"/>
      <c r="AR25" s="471"/>
      <c r="AS25" s="470"/>
      <c r="AT25" s="471"/>
      <c r="AU25" s="472"/>
      <c r="AV25" s="470"/>
      <c r="AW25" s="471"/>
      <c r="AX25" s="471"/>
      <c r="AY25" s="470"/>
      <c r="AZ25" s="471"/>
      <c r="BA25" s="472"/>
      <c r="BB25" s="30">
        <v>36</v>
      </c>
      <c r="BC25" s="35">
        <v>14</v>
      </c>
      <c r="BD25" s="32">
        <v>-79</v>
      </c>
      <c r="BE25" s="30">
        <v>72</v>
      </c>
      <c r="BF25" s="24">
        <v>15.5</v>
      </c>
      <c r="BG25" s="10">
        <v>-76</v>
      </c>
      <c r="BH25" s="470"/>
      <c r="BI25" s="471"/>
      <c r="BJ25" s="471"/>
      <c r="BK25" s="470"/>
      <c r="BL25" s="471"/>
      <c r="BM25" s="472"/>
      <c r="BN25" s="470"/>
      <c r="BO25" s="471"/>
      <c r="BP25" s="471"/>
      <c r="BQ25" s="470"/>
      <c r="BR25" s="471"/>
      <c r="BS25" s="472"/>
      <c r="BT25" s="470"/>
      <c r="BU25" s="471"/>
      <c r="BV25" s="471"/>
      <c r="BW25" s="470"/>
      <c r="BX25" s="471"/>
      <c r="BY25" s="472"/>
      <c r="BZ25" s="470"/>
      <c r="CA25" s="471"/>
      <c r="CB25" s="471"/>
      <c r="CC25" s="470"/>
      <c r="CD25" s="471"/>
      <c r="CE25" s="472"/>
      <c r="CF25" s="470"/>
      <c r="CG25" s="471"/>
      <c r="CH25" s="471"/>
      <c r="CI25" s="470"/>
      <c r="CJ25" s="471"/>
      <c r="CK25" s="472"/>
    </row>
    <row r="26" spans="2:89" ht="10.5" x14ac:dyDescent="0.25">
      <c r="B26" s="156" t="s">
        <v>686</v>
      </c>
      <c r="C26" s="156" t="str">
        <f>"TDWLANModule!F"&amp;(CT_HELP!$A$6+14*(CT_HELP!A26-3))&amp;":CK"&amp;CT_HELP!$A$16+14*(CT_HELP!A26-3)</f>
        <v>TDWLANModule!F328:CK338</v>
      </c>
      <c r="D26" s="106" t="b">
        <v>1</v>
      </c>
      <c r="E26" s="27"/>
      <c r="F26" s="315">
        <v>18</v>
      </c>
      <c r="G26" s="32">
        <v>20</v>
      </c>
      <c r="H26" s="32">
        <v>-87</v>
      </c>
      <c r="I26" s="6">
        <v>96</v>
      </c>
      <c r="J26" s="31">
        <v>17</v>
      </c>
      <c r="K26" s="99">
        <v>-74</v>
      </c>
      <c r="L26" s="470"/>
      <c r="M26" s="471"/>
      <c r="N26" s="471"/>
      <c r="O26" s="470"/>
      <c r="P26" s="471"/>
      <c r="Q26" s="684"/>
      <c r="R26" s="32">
        <v>48</v>
      </c>
      <c r="S26" s="35">
        <v>13.5</v>
      </c>
      <c r="T26" s="32">
        <v>-75</v>
      </c>
      <c r="U26" s="30">
        <v>96</v>
      </c>
      <c r="V26" s="24">
        <v>13.5</v>
      </c>
      <c r="W26" s="10">
        <v>-72</v>
      </c>
      <c r="X26" s="470"/>
      <c r="Y26" s="471"/>
      <c r="Z26" s="471"/>
      <c r="AA26" s="470"/>
      <c r="AB26" s="471"/>
      <c r="AC26" s="472"/>
      <c r="AD26" s="470"/>
      <c r="AE26" s="471"/>
      <c r="AF26" s="471"/>
      <c r="AG26" s="470"/>
      <c r="AH26" s="471"/>
      <c r="AI26" s="472"/>
      <c r="AJ26" s="470"/>
      <c r="AK26" s="471"/>
      <c r="AL26" s="471"/>
      <c r="AM26" s="470"/>
      <c r="AN26" s="471"/>
      <c r="AO26" s="472"/>
      <c r="AP26" s="470"/>
      <c r="AQ26" s="471"/>
      <c r="AR26" s="471"/>
      <c r="AS26" s="470"/>
      <c r="AT26" s="471"/>
      <c r="AU26" s="472"/>
      <c r="AV26" s="470"/>
      <c r="AW26" s="471"/>
      <c r="AX26" s="471"/>
      <c r="AY26" s="470"/>
      <c r="AZ26" s="471"/>
      <c r="BA26" s="472"/>
      <c r="BB26" s="30">
        <v>48</v>
      </c>
      <c r="BC26" s="35">
        <v>13.5</v>
      </c>
      <c r="BD26" s="32">
        <v>-75</v>
      </c>
      <c r="BE26" s="30">
        <v>96</v>
      </c>
      <c r="BF26" s="24">
        <v>13.5</v>
      </c>
      <c r="BG26" s="10">
        <v>-72</v>
      </c>
      <c r="BH26" s="470"/>
      <c r="BI26" s="471"/>
      <c r="BJ26" s="471"/>
      <c r="BK26" s="470"/>
      <c r="BL26" s="471"/>
      <c r="BM26" s="472"/>
      <c r="BN26" s="470"/>
      <c r="BO26" s="471"/>
      <c r="BP26" s="471"/>
      <c r="BQ26" s="470"/>
      <c r="BR26" s="471"/>
      <c r="BS26" s="472"/>
      <c r="BT26" s="470"/>
      <c r="BU26" s="471"/>
      <c r="BV26" s="471"/>
      <c r="BW26" s="470"/>
      <c r="BX26" s="471"/>
      <c r="BY26" s="472"/>
      <c r="BZ26" s="470"/>
      <c r="CA26" s="471"/>
      <c r="CB26" s="471"/>
      <c r="CC26" s="470"/>
      <c r="CD26" s="471"/>
      <c r="CE26" s="472"/>
      <c r="CF26" s="470"/>
      <c r="CG26" s="471"/>
      <c r="CH26" s="471"/>
      <c r="CI26" s="470"/>
      <c r="CJ26" s="471"/>
      <c r="CK26" s="472"/>
    </row>
    <row r="27" spans="2:89" ht="10.5" x14ac:dyDescent="0.25">
      <c r="B27" s="195"/>
      <c r="C27" s="195"/>
      <c r="D27" s="106"/>
      <c r="E27" s="27"/>
      <c r="F27" s="315">
        <v>24</v>
      </c>
      <c r="G27" s="32">
        <v>20</v>
      </c>
      <c r="H27" s="31">
        <v>-84</v>
      </c>
      <c r="I27" s="6">
        <v>108</v>
      </c>
      <c r="J27" s="31">
        <v>17</v>
      </c>
      <c r="K27" s="99">
        <v>-70</v>
      </c>
      <c r="L27" s="470"/>
      <c r="M27" s="471"/>
      <c r="N27" s="471"/>
      <c r="O27" s="470"/>
      <c r="P27" s="471"/>
      <c r="Q27" s="684"/>
      <c r="R27" s="32">
        <v>54</v>
      </c>
      <c r="S27" s="35">
        <v>12.5</v>
      </c>
      <c r="T27" s="32">
        <v>-71</v>
      </c>
      <c r="U27" s="30">
        <v>108</v>
      </c>
      <c r="V27" s="24">
        <v>12.5</v>
      </c>
      <c r="W27" s="10">
        <v>-68</v>
      </c>
      <c r="X27" s="470"/>
      <c r="Y27" s="471"/>
      <c r="Z27" s="471"/>
      <c r="AA27" s="470"/>
      <c r="AB27" s="471"/>
      <c r="AC27" s="472"/>
      <c r="AD27" s="470"/>
      <c r="AE27" s="471"/>
      <c r="AF27" s="471"/>
      <c r="AG27" s="470"/>
      <c r="AH27" s="471"/>
      <c r="AI27" s="472"/>
      <c r="AJ27" s="470"/>
      <c r="AK27" s="471"/>
      <c r="AL27" s="471"/>
      <c r="AM27" s="470"/>
      <c r="AN27" s="471"/>
      <c r="AO27" s="472"/>
      <c r="AP27" s="470"/>
      <c r="AQ27" s="471"/>
      <c r="AR27" s="471"/>
      <c r="AS27" s="470"/>
      <c r="AT27" s="471"/>
      <c r="AU27" s="472"/>
      <c r="AV27" s="470"/>
      <c r="AW27" s="471"/>
      <c r="AX27" s="471"/>
      <c r="AY27" s="470"/>
      <c r="AZ27" s="471"/>
      <c r="BA27" s="472"/>
      <c r="BB27" s="30">
        <v>54</v>
      </c>
      <c r="BC27" s="35">
        <v>12.5</v>
      </c>
      <c r="BD27" s="32">
        <v>-71</v>
      </c>
      <c r="BE27" s="30">
        <v>108</v>
      </c>
      <c r="BF27" s="24">
        <v>12.5</v>
      </c>
      <c r="BG27" s="10">
        <v>-68</v>
      </c>
      <c r="BH27" s="470"/>
      <c r="BI27" s="471"/>
      <c r="BJ27" s="471"/>
      <c r="BK27" s="470"/>
      <c r="BL27" s="471"/>
      <c r="BM27" s="472"/>
      <c r="BN27" s="470"/>
      <c r="BO27" s="471"/>
      <c r="BP27" s="471"/>
      <c r="BQ27" s="470"/>
      <c r="BR27" s="471"/>
      <c r="BS27" s="472"/>
      <c r="BT27" s="470"/>
      <c r="BU27" s="471"/>
      <c r="BV27" s="471"/>
      <c r="BW27" s="470"/>
      <c r="BX27" s="471"/>
      <c r="BY27" s="472"/>
      <c r="BZ27" s="470"/>
      <c r="CA27" s="471"/>
      <c r="CB27" s="471"/>
      <c r="CC27" s="470"/>
      <c r="CD27" s="471"/>
      <c r="CE27" s="472"/>
      <c r="CF27" s="470"/>
      <c r="CG27" s="471"/>
      <c r="CH27" s="471"/>
      <c r="CI27" s="470"/>
      <c r="CJ27" s="471"/>
      <c r="CK27" s="472"/>
    </row>
    <row r="28" spans="2:89" ht="10.5" x14ac:dyDescent="0.25">
      <c r="B28" s="195"/>
      <c r="C28" s="195"/>
      <c r="D28" s="106"/>
      <c r="E28" s="27"/>
      <c r="F28" s="315">
        <v>36</v>
      </c>
      <c r="G28" s="32">
        <v>20</v>
      </c>
      <c r="H28" s="31">
        <v>-81</v>
      </c>
      <c r="I28" s="6"/>
      <c r="J28" s="2"/>
      <c r="K28" s="10"/>
      <c r="L28" s="470"/>
      <c r="M28" s="471"/>
      <c r="N28" s="471"/>
      <c r="O28" s="470"/>
      <c r="P28" s="471"/>
      <c r="Q28" s="684"/>
      <c r="R28" s="2"/>
      <c r="S28" s="2"/>
      <c r="T28" s="2"/>
      <c r="U28" s="30"/>
      <c r="V28" s="2"/>
      <c r="W28" s="10"/>
      <c r="X28" s="470"/>
      <c r="Y28" s="471"/>
      <c r="Z28" s="471"/>
      <c r="AA28" s="470"/>
      <c r="AB28" s="471"/>
      <c r="AC28" s="472"/>
      <c r="AD28" s="470"/>
      <c r="AE28" s="471"/>
      <c r="AF28" s="471"/>
      <c r="AG28" s="470"/>
      <c r="AH28" s="471"/>
      <c r="AI28" s="472"/>
      <c r="AJ28" s="470"/>
      <c r="AK28" s="471"/>
      <c r="AL28" s="471"/>
      <c r="AM28" s="470"/>
      <c r="AN28" s="471"/>
      <c r="AO28" s="472"/>
      <c r="AP28" s="470"/>
      <c r="AQ28" s="471"/>
      <c r="AR28" s="471"/>
      <c r="AS28" s="470"/>
      <c r="AT28" s="471"/>
      <c r="AU28" s="472"/>
      <c r="AV28" s="470"/>
      <c r="AW28" s="471"/>
      <c r="AX28" s="471"/>
      <c r="AY28" s="470"/>
      <c r="AZ28" s="471"/>
      <c r="BA28" s="472"/>
      <c r="BB28" s="6"/>
      <c r="BC28" s="2"/>
      <c r="BD28" s="2"/>
      <c r="BE28" s="30"/>
      <c r="BF28" s="2"/>
      <c r="BG28" s="10"/>
      <c r="BH28" s="470"/>
      <c r="BI28" s="471"/>
      <c r="BJ28" s="471"/>
      <c r="BK28" s="470"/>
      <c r="BL28" s="471"/>
      <c r="BM28" s="472"/>
      <c r="BN28" s="470"/>
      <c r="BO28" s="471"/>
      <c r="BP28" s="471"/>
      <c r="BQ28" s="470"/>
      <c r="BR28" s="471"/>
      <c r="BS28" s="472"/>
      <c r="BT28" s="470"/>
      <c r="BU28" s="471"/>
      <c r="BV28" s="471"/>
      <c r="BW28" s="470"/>
      <c r="BX28" s="471"/>
      <c r="BY28" s="472"/>
      <c r="BZ28" s="470"/>
      <c r="CA28" s="471"/>
      <c r="CB28" s="471"/>
      <c r="CC28" s="470"/>
      <c r="CD28" s="471"/>
      <c r="CE28" s="472"/>
      <c r="CF28" s="470"/>
      <c r="CG28" s="471"/>
      <c r="CH28" s="471"/>
      <c r="CI28" s="470"/>
      <c r="CJ28" s="471"/>
      <c r="CK28" s="472"/>
    </row>
    <row r="29" spans="2:89" ht="10.5" x14ac:dyDescent="0.25">
      <c r="B29" s="195"/>
      <c r="C29" s="195"/>
      <c r="D29" s="106"/>
      <c r="E29" s="27"/>
      <c r="F29" s="315">
        <v>48</v>
      </c>
      <c r="G29" s="32">
        <v>19</v>
      </c>
      <c r="H29" s="31">
        <v>-77</v>
      </c>
      <c r="I29" s="6"/>
      <c r="J29" s="2"/>
      <c r="K29" s="10"/>
      <c r="L29" s="470"/>
      <c r="M29" s="471"/>
      <c r="N29" s="471"/>
      <c r="O29" s="470"/>
      <c r="P29" s="471"/>
      <c r="Q29" s="684"/>
      <c r="R29" s="2"/>
      <c r="S29" s="35"/>
      <c r="T29" s="31"/>
      <c r="U29" s="6"/>
      <c r="V29" s="24"/>
      <c r="W29" s="95"/>
      <c r="X29" s="470"/>
      <c r="Y29" s="471"/>
      <c r="Z29" s="471"/>
      <c r="AA29" s="470"/>
      <c r="AB29" s="471"/>
      <c r="AC29" s="472"/>
      <c r="AD29" s="470"/>
      <c r="AE29" s="471"/>
      <c r="AF29" s="471"/>
      <c r="AG29" s="470"/>
      <c r="AH29" s="471"/>
      <c r="AI29" s="472"/>
      <c r="AJ29" s="470"/>
      <c r="AK29" s="471"/>
      <c r="AL29" s="471"/>
      <c r="AM29" s="470"/>
      <c r="AN29" s="471"/>
      <c r="AO29" s="472"/>
      <c r="AP29" s="470"/>
      <c r="AQ29" s="471"/>
      <c r="AR29" s="471"/>
      <c r="AS29" s="470"/>
      <c r="AT29" s="471"/>
      <c r="AU29" s="472"/>
      <c r="AV29" s="470"/>
      <c r="AW29" s="471"/>
      <c r="AX29" s="471"/>
      <c r="AY29" s="470"/>
      <c r="AZ29" s="471"/>
      <c r="BA29" s="472"/>
      <c r="BB29" s="6"/>
      <c r="BC29" s="35"/>
      <c r="BD29" s="31"/>
      <c r="BE29" s="6"/>
      <c r="BF29" s="24"/>
      <c r="BG29" s="95"/>
      <c r="BH29" s="470"/>
      <c r="BI29" s="471"/>
      <c r="BJ29" s="471"/>
      <c r="BK29" s="470"/>
      <c r="BL29" s="471"/>
      <c r="BM29" s="472"/>
      <c r="BN29" s="470"/>
      <c r="BO29" s="471"/>
      <c r="BP29" s="471"/>
      <c r="BQ29" s="470"/>
      <c r="BR29" s="471"/>
      <c r="BS29" s="472"/>
      <c r="BT29" s="470"/>
      <c r="BU29" s="471"/>
      <c r="BV29" s="471"/>
      <c r="BW29" s="470"/>
      <c r="BX29" s="471"/>
      <c r="BY29" s="472"/>
      <c r="BZ29" s="470"/>
      <c r="CA29" s="471"/>
      <c r="CB29" s="471"/>
      <c r="CC29" s="470"/>
      <c r="CD29" s="471"/>
      <c r="CE29" s="472"/>
      <c r="CF29" s="470"/>
      <c r="CG29" s="471"/>
      <c r="CH29" s="471"/>
      <c r="CI29" s="470"/>
      <c r="CJ29" s="471"/>
      <c r="CK29" s="472"/>
    </row>
    <row r="30" spans="2:89" ht="11" thickBot="1" x14ac:dyDescent="0.3">
      <c r="B30" s="195"/>
      <c r="C30" s="195"/>
      <c r="D30" s="106"/>
      <c r="E30" s="27"/>
      <c r="F30" s="316">
        <v>54</v>
      </c>
      <c r="G30" s="317">
        <v>18</v>
      </c>
      <c r="H30" s="317">
        <v>-73</v>
      </c>
      <c r="I30" s="300"/>
      <c r="J30" s="55"/>
      <c r="K30" s="309"/>
      <c r="L30" s="473"/>
      <c r="M30" s="474"/>
      <c r="N30" s="474"/>
      <c r="O30" s="473"/>
      <c r="P30" s="474"/>
      <c r="Q30" s="685"/>
      <c r="R30" s="8"/>
      <c r="S30" s="101"/>
      <c r="T30" s="41"/>
      <c r="U30" s="7"/>
      <c r="V30" s="103"/>
      <c r="W30" s="104"/>
      <c r="X30" s="473"/>
      <c r="Y30" s="474"/>
      <c r="Z30" s="474"/>
      <c r="AA30" s="473"/>
      <c r="AB30" s="474"/>
      <c r="AC30" s="475"/>
      <c r="AD30" s="473"/>
      <c r="AE30" s="474"/>
      <c r="AF30" s="474"/>
      <c r="AG30" s="473"/>
      <c r="AH30" s="474"/>
      <c r="AI30" s="475"/>
      <c r="AJ30" s="473"/>
      <c r="AK30" s="474"/>
      <c r="AL30" s="474"/>
      <c r="AM30" s="473"/>
      <c r="AN30" s="474"/>
      <c r="AO30" s="475"/>
      <c r="AP30" s="473"/>
      <c r="AQ30" s="474"/>
      <c r="AR30" s="474"/>
      <c r="AS30" s="473"/>
      <c r="AT30" s="474"/>
      <c r="AU30" s="475"/>
      <c r="AV30" s="473"/>
      <c r="AW30" s="474"/>
      <c r="AX30" s="474"/>
      <c r="AY30" s="473"/>
      <c r="AZ30" s="474"/>
      <c r="BA30" s="475"/>
      <c r="BB30" s="7"/>
      <c r="BC30" s="101"/>
      <c r="BD30" s="41"/>
      <c r="BE30" s="7"/>
      <c r="BF30" s="103"/>
      <c r="BG30" s="104"/>
      <c r="BH30" s="473"/>
      <c r="BI30" s="474"/>
      <c r="BJ30" s="474"/>
      <c r="BK30" s="473"/>
      <c r="BL30" s="474"/>
      <c r="BM30" s="475"/>
      <c r="BN30" s="473"/>
      <c r="BO30" s="474"/>
      <c r="BP30" s="474"/>
      <c r="BQ30" s="473"/>
      <c r="BR30" s="474"/>
      <c r="BS30" s="475"/>
      <c r="BT30" s="473"/>
      <c r="BU30" s="474"/>
      <c r="BV30" s="474"/>
      <c r="BW30" s="473"/>
      <c r="BX30" s="474"/>
      <c r="BY30" s="475"/>
      <c r="BZ30" s="473"/>
      <c r="CA30" s="474"/>
      <c r="CB30" s="474"/>
      <c r="CC30" s="473"/>
      <c r="CD30" s="474"/>
      <c r="CE30" s="475"/>
      <c r="CF30" s="473"/>
      <c r="CG30" s="474"/>
      <c r="CH30" s="474"/>
      <c r="CI30" s="473"/>
      <c r="CJ30" s="474"/>
      <c r="CK30" s="475"/>
    </row>
    <row r="31" spans="2:89" ht="10.5" x14ac:dyDescent="0.25">
      <c r="B31" s="195"/>
      <c r="C31" s="195"/>
      <c r="D31" s="106"/>
      <c r="E31" s="27"/>
      <c r="F31" s="25"/>
      <c r="G31" s="25"/>
      <c r="H31" s="25"/>
      <c r="I31" s="25"/>
      <c r="J31" s="25"/>
      <c r="K31" s="32"/>
      <c r="L31" s="32"/>
      <c r="M31" s="32"/>
      <c r="N31" s="32"/>
      <c r="O31" s="32"/>
      <c r="P31" s="32"/>
      <c r="Q31" s="32"/>
      <c r="R31" s="2"/>
      <c r="S31" s="35"/>
      <c r="T31" s="31"/>
      <c r="U31" s="2"/>
      <c r="V31" s="24"/>
      <c r="W31" s="24"/>
      <c r="X31" s="24"/>
      <c r="Y31" s="24"/>
      <c r="Z31" s="24"/>
      <c r="AA31" s="24"/>
      <c r="AB31" s="24"/>
      <c r="AC31" s="24"/>
      <c r="AJ31" s="24"/>
      <c r="AK31" s="24"/>
      <c r="AL31" s="24"/>
      <c r="AM31" s="24"/>
      <c r="AN31" s="24"/>
      <c r="AO31" s="24"/>
      <c r="AV31" s="24"/>
      <c r="AW31" s="24"/>
      <c r="AX31" s="24"/>
      <c r="AY31" s="24"/>
      <c r="AZ31" s="24"/>
      <c r="BA31" s="24"/>
      <c r="BH31" s="24"/>
      <c r="BI31" s="24"/>
      <c r="BJ31" s="24"/>
      <c r="BK31" s="24"/>
      <c r="BL31" s="24"/>
      <c r="BM31" s="24"/>
      <c r="BT31" s="24"/>
      <c r="BU31" s="24"/>
      <c r="BV31" s="24"/>
      <c r="BW31" s="24"/>
      <c r="BX31" s="24"/>
      <c r="BY31" s="24"/>
    </row>
    <row r="32" spans="2:89" ht="10.5" x14ac:dyDescent="0.25">
      <c r="B32" s="195"/>
      <c r="C32" s="195"/>
      <c r="D32" s="106"/>
      <c r="E32" s="27"/>
      <c r="F32" s="26" t="s">
        <v>0</v>
      </c>
      <c r="G32" s="26"/>
      <c r="H32" s="26"/>
      <c r="I32" s="26"/>
      <c r="J32" s="26"/>
      <c r="K32" s="26"/>
      <c r="L32" s="32"/>
      <c r="M32" s="32"/>
      <c r="N32" s="32"/>
      <c r="O32" s="32"/>
      <c r="P32" s="32"/>
      <c r="Q32" s="32"/>
      <c r="R32" s="26" t="s">
        <v>1</v>
      </c>
      <c r="S32" s="25"/>
      <c r="T32" s="25"/>
      <c r="U32" s="25"/>
      <c r="X32" s="2"/>
      <c r="Y32" s="2"/>
      <c r="Z32" s="2"/>
      <c r="AA32" s="2"/>
      <c r="AB32" s="2"/>
      <c r="AC32" s="2"/>
      <c r="AD32" s="853" t="s">
        <v>410</v>
      </c>
      <c r="AE32" s="852"/>
      <c r="AF32" s="852"/>
      <c r="AG32" s="852"/>
      <c r="AJ32" s="2"/>
      <c r="AK32" s="2"/>
      <c r="AL32" s="2"/>
      <c r="AM32" s="2"/>
      <c r="AN32" s="2"/>
      <c r="AO32" s="2"/>
      <c r="AP32" s="853" t="s">
        <v>411</v>
      </c>
      <c r="AQ32" s="852"/>
      <c r="AR32" s="852"/>
      <c r="AS32" s="852"/>
      <c r="AV32" s="2"/>
      <c r="AW32" s="2"/>
      <c r="AX32" s="2"/>
      <c r="AY32" s="2"/>
      <c r="AZ32" s="2"/>
      <c r="BA32" s="2"/>
      <c r="BB32" s="44" t="s">
        <v>223</v>
      </c>
      <c r="BH32" s="2"/>
      <c r="BI32" s="2"/>
      <c r="BJ32" s="2"/>
      <c r="BK32" s="2"/>
      <c r="BL32" s="2"/>
      <c r="BM32" s="2"/>
      <c r="BN32" s="44" t="s">
        <v>351</v>
      </c>
      <c r="BT32" s="2"/>
      <c r="BU32" s="2"/>
      <c r="BV32" s="2"/>
      <c r="BW32" s="2"/>
      <c r="BX32" s="2"/>
      <c r="BY32" s="2"/>
      <c r="BZ32" s="44" t="s">
        <v>515</v>
      </c>
      <c r="CF32" s="2"/>
      <c r="CG32" s="2"/>
      <c r="CH32" s="2"/>
      <c r="CI32" s="2"/>
      <c r="CJ32" s="2"/>
      <c r="CK32" s="2"/>
    </row>
    <row r="33" spans="2:89" ht="11" thickBot="1" x14ac:dyDescent="0.3">
      <c r="B33" s="195"/>
      <c r="C33" s="195"/>
      <c r="D33" s="106"/>
      <c r="E33" s="27"/>
      <c r="F33" s="26" t="s">
        <v>113</v>
      </c>
      <c r="G33" s="26" t="s">
        <v>108</v>
      </c>
      <c r="H33" s="26" t="s">
        <v>109</v>
      </c>
      <c r="I33" s="26" t="s">
        <v>110</v>
      </c>
      <c r="J33" s="26" t="s">
        <v>111</v>
      </c>
      <c r="K33" s="26" t="s">
        <v>112</v>
      </c>
      <c r="L33" s="32"/>
      <c r="M33" s="32"/>
      <c r="N33" s="32"/>
      <c r="O33" s="32"/>
      <c r="P33" s="32"/>
      <c r="Q33" s="32"/>
      <c r="R33" s="26" t="s">
        <v>113</v>
      </c>
      <c r="S33" s="159" t="s">
        <v>108</v>
      </c>
      <c r="T33" s="159" t="s">
        <v>109</v>
      </c>
      <c r="U33" s="26" t="s">
        <v>110</v>
      </c>
      <c r="V33" s="26" t="s">
        <v>111</v>
      </c>
      <c r="W33" s="26" t="s">
        <v>112</v>
      </c>
      <c r="X33" s="2"/>
      <c r="Y33" s="2"/>
      <c r="Z33" s="2"/>
      <c r="AA33" s="2"/>
      <c r="AB33" s="2"/>
      <c r="AC33" s="2"/>
      <c r="AD33" s="159" t="s">
        <v>88</v>
      </c>
      <c r="AE33" s="159" t="s">
        <v>83</v>
      </c>
      <c r="AF33" s="159" t="s">
        <v>84</v>
      </c>
      <c r="AG33" s="159" t="s">
        <v>87</v>
      </c>
      <c r="AH33" s="159" t="s">
        <v>85</v>
      </c>
      <c r="AI33" s="159" t="s">
        <v>86</v>
      </c>
      <c r="AJ33" s="2"/>
      <c r="AK33" s="2"/>
      <c r="AL33" s="2"/>
      <c r="AM33" s="2"/>
      <c r="AN33" s="2"/>
      <c r="AO33" s="2"/>
      <c r="AP33" s="159" t="s">
        <v>88</v>
      </c>
      <c r="AQ33" s="159" t="s">
        <v>83</v>
      </c>
      <c r="AR33" s="159" t="s">
        <v>84</v>
      </c>
      <c r="AS33" s="159" t="s">
        <v>87</v>
      </c>
      <c r="AT33" s="159" t="s">
        <v>85</v>
      </c>
      <c r="AU33" s="159" t="s">
        <v>86</v>
      </c>
      <c r="AV33" s="2"/>
      <c r="AW33" s="2"/>
      <c r="AX33" s="2"/>
      <c r="AY33" s="2"/>
      <c r="AZ33" s="2"/>
      <c r="BA33" s="2"/>
      <c r="BB33" s="102" t="s">
        <v>88</v>
      </c>
      <c r="BC33" s="102" t="s">
        <v>83</v>
      </c>
      <c r="BD33" s="102" t="s">
        <v>84</v>
      </c>
      <c r="BE33" s="102" t="s">
        <v>87</v>
      </c>
      <c r="BF33" s="102" t="s">
        <v>85</v>
      </c>
      <c r="BG33" s="102" t="s">
        <v>86</v>
      </c>
      <c r="BH33" s="2"/>
      <c r="BI33" s="2"/>
      <c r="BJ33" s="2"/>
      <c r="BK33" s="2"/>
      <c r="BL33" s="2"/>
      <c r="BM33" s="2"/>
      <c r="BN33" s="102" t="s">
        <v>88</v>
      </c>
      <c r="BO33" s="102" t="s">
        <v>83</v>
      </c>
      <c r="BP33" s="102" t="s">
        <v>84</v>
      </c>
      <c r="BQ33" s="102" t="s">
        <v>87</v>
      </c>
      <c r="BR33" s="102" t="s">
        <v>85</v>
      </c>
      <c r="BS33" s="102" t="s">
        <v>86</v>
      </c>
      <c r="BT33" s="2"/>
      <c r="BU33" s="2"/>
      <c r="BV33" s="2"/>
      <c r="BW33" s="2"/>
      <c r="BX33" s="2"/>
      <c r="BY33" s="2"/>
      <c r="BZ33" s="102" t="s">
        <v>88</v>
      </c>
      <c r="CA33" s="102" t="s">
        <v>83</v>
      </c>
      <c r="CB33" s="102" t="s">
        <v>84</v>
      </c>
      <c r="CC33" s="102" t="s">
        <v>87</v>
      </c>
      <c r="CD33" s="102" t="s">
        <v>85</v>
      </c>
      <c r="CE33" s="102" t="s">
        <v>86</v>
      </c>
      <c r="CF33" s="102" t="s">
        <v>512</v>
      </c>
      <c r="CG33" s="102" t="s">
        <v>514</v>
      </c>
      <c r="CH33" s="102" t="s">
        <v>513</v>
      </c>
      <c r="CI33" s="102" t="s">
        <v>516</v>
      </c>
      <c r="CJ33" s="102" t="s">
        <v>517</v>
      </c>
      <c r="CK33" s="102" t="s">
        <v>518</v>
      </c>
    </row>
    <row r="34" spans="2:89" x14ac:dyDescent="0.2">
      <c r="B34" s="195"/>
      <c r="C34" s="195"/>
      <c r="D34" s="106"/>
      <c r="E34" s="34" t="s">
        <v>181</v>
      </c>
      <c r="F34" s="310">
        <v>1</v>
      </c>
      <c r="G34" s="311">
        <v>19</v>
      </c>
      <c r="H34" s="311">
        <v>-93</v>
      </c>
      <c r="I34" s="295">
        <v>12</v>
      </c>
      <c r="J34" s="301">
        <v>17</v>
      </c>
      <c r="K34" s="687">
        <v>-86</v>
      </c>
      <c r="L34" s="467"/>
      <c r="M34" s="468"/>
      <c r="N34" s="468"/>
      <c r="O34" s="467"/>
      <c r="P34" s="468"/>
      <c r="Q34" s="683"/>
      <c r="R34" s="29">
        <v>6</v>
      </c>
      <c r="S34" s="38">
        <v>17</v>
      </c>
      <c r="T34" s="29">
        <v>-84</v>
      </c>
      <c r="U34" s="28">
        <v>12</v>
      </c>
      <c r="V34" s="96">
        <v>17</v>
      </c>
      <c r="W34" s="9">
        <v>-81</v>
      </c>
      <c r="X34" s="467"/>
      <c r="Y34" s="468"/>
      <c r="Z34" s="468"/>
      <c r="AA34" s="467"/>
      <c r="AB34" s="468"/>
      <c r="AC34" s="469"/>
      <c r="AD34" s="467"/>
      <c r="AE34" s="468"/>
      <c r="AF34" s="468"/>
      <c r="AG34" s="467"/>
      <c r="AH34" s="468"/>
      <c r="AI34" s="469"/>
      <c r="AJ34" s="467"/>
      <c r="AK34" s="468"/>
      <c r="AL34" s="468"/>
      <c r="AM34" s="467"/>
      <c r="AN34" s="468"/>
      <c r="AO34" s="469"/>
      <c r="AP34" s="467"/>
      <c r="AQ34" s="468"/>
      <c r="AR34" s="468"/>
      <c r="AS34" s="467"/>
      <c r="AT34" s="468"/>
      <c r="AU34" s="469"/>
      <c r="AV34" s="467"/>
      <c r="AW34" s="468"/>
      <c r="AX34" s="468"/>
      <c r="AY34" s="467"/>
      <c r="AZ34" s="468"/>
      <c r="BA34" s="469"/>
      <c r="BB34" s="28">
        <v>6</v>
      </c>
      <c r="BC34" s="38">
        <v>17</v>
      </c>
      <c r="BD34" s="29">
        <v>-84</v>
      </c>
      <c r="BE34" s="28">
        <v>12</v>
      </c>
      <c r="BF34" s="96">
        <v>17</v>
      </c>
      <c r="BG34" s="9">
        <v>-81</v>
      </c>
      <c r="BH34" s="467"/>
      <c r="BI34" s="468"/>
      <c r="BJ34" s="468"/>
      <c r="BK34" s="467"/>
      <c r="BL34" s="468"/>
      <c r="BM34" s="469"/>
      <c r="BN34" s="467"/>
      <c r="BO34" s="468"/>
      <c r="BP34" s="468"/>
      <c r="BQ34" s="467"/>
      <c r="BR34" s="468"/>
      <c r="BS34" s="469"/>
      <c r="BT34" s="467"/>
      <c r="BU34" s="468"/>
      <c r="BV34" s="468"/>
      <c r="BW34" s="467"/>
      <c r="BX34" s="468"/>
      <c r="BY34" s="469"/>
      <c r="BZ34" s="467"/>
      <c r="CA34" s="468"/>
      <c r="CB34" s="468"/>
      <c r="CC34" s="467"/>
      <c r="CD34" s="468"/>
      <c r="CE34" s="469"/>
      <c r="CF34" s="467"/>
      <c r="CG34" s="468"/>
      <c r="CH34" s="468"/>
      <c r="CI34" s="467"/>
      <c r="CJ34" s="468"/>
      <c r="CK34" s="469"/>
    </row>
    <row r="35" spans="2:89" x14ac:dyDescent="0.2">
      <c r="B35" s="195"/>
      <c r="C35" s="195"/>
      <c r="D35" s="106"/>
      <c r="E35" s="233" t="s">
        <v>42</v>
      </c>
      <c r="F35" s="314">
        <v>5.5</v>
      </c>
      <c r="G35" s="32">
        <v>19</v>
      </c>
      <c r="H35" s="32">
        <v>-90</v>
      </c>
      <c r="I35" s="6">
        <v>18</v>
      </c>
      <c r="J35" s="31">
        <v>17</v>
      </c>
      <c r="K35" s="99">
        <v>-85</v>
      </c>
      <c r="L35" s="470"/>
      <c r="M35" s="471"/>
      <c r="N35" s="471"/>
      <c r="O35" s="470"/>
      <c r="P35" s="471"/>
      <c r="Q35" s="684"/>
      <c r="R35" s="32">
        <v>9</v>
      </c>
      <c r="S35" s="31">
        <v>17</v>
      </c>
      <c r="T35" s="32">
        <v>-83</v>
      </c>
      <c r="U35" s="30">
        <v>18</v>
      </c>
      <c r="V35" s="24">
        <v>17</v>
      </c>
      <c r="W35" s="10">
        <v>-80</v>
      </c>
      <c r="X35" s="470"/>
      <c r="Y35" s="471"/>
      <c r="Z35" s="471"/>
      <c r="AA35" s="470"/>
      <c r="AB35" s="471"/>
      <c r="AC35" s="472"/>
      <c r="AD35" s="470"/>
      <c r="AE35" s="471"/>
      <c r="AF35" s="471"/>
      <c r="AG35" s="470"/>
      <c r="AH35" s="471"/>
      <c r="AI35" s="472"/>
      <c r="AJ35" s="470"/>
      <c r="AK35" s="471"/>
      <c r="AL35" s="471"/>
      <c r="AM35" s="470"/>
      <c r="AN35" s="471"/>
      <c r="AO35" s="472"/>
      <c r="AP35" s="470"/>
      <c r="AQ35" s="471"/>
      <c r="AR35" s="471"/>
      <c r="AS35" s="470"/>
      <c r="AT35" s="471"/>
      <c r="AU35" s="472"/>
      <c r="AV35" s="470"/>
      <c r="AW35" s="471"/>
      <c r="AX35" s="471"/>
      <c r="AY35" s="470"/>
      <c r="AZ35" s="471"/>
      <c r="BA35" s="472"/>
      <c r="BB35" s="30">
        <v>9</v>
      </c>
      <c r="BC35" s="31">
        <v>17</v>
      </c>
      <c r="BD35" s="32">
        <v>-83</v>
      </c>
      <c r="BE35" s="30">
        <v>18</v>
      </c>
      <c r="BF35" s="24">
        <v>17</v>
      </c>
      <c r="BG35" s="10">
        <v>-80</v>
      </c>
      <c r="BH35" s="470"/>
      <c r="BI35" s="471"/>
      <c r="BJ35" s="471"/>
      <c r="BK35" s="470"/>
      <c r="BL35" s="471"/>
      <c r="BM35" s="472"/>
      <c r="BN35" s="470"/>
      <c r="BO35" s="471"/>
      <c r="BP35" s="471"/>
      <c r="BQ35" s="470"/>
      <c r="BR35" s="471"/>
      <c r="BS35" s="472"/>
      <c r="BT35" s="470"/>
      <c r="BU35" s="471"/>
      <c r="BV35" s="471"/>
      <c r="BW35" s="470"/>
      <c r="BX35" s="471"/>
      <c r="BY35" s="472"/>
      <c r="BZ35" s="470"/>
      <c r="CA35" s="471"/>
      <c r="CB35" s="471"/>
      <c r="CC35" s="470"/>
      <c r="CD35" s="471"/>
      <c r="CE35" s="472"/>
      <c r="CF35" s="470"/>
      <c r="CG35" s="471"/>
      <c r="CH35" s="471"/>
      <c r="CI35" s="470"/>
      <c r="CJ35" s="471"/>
      <c r="CK35" s="472"/>
    </row>
    <row r="36" spans="2:89" ht="10.5" x14ac:dyDescent="0.25">
      <c r="B36" s="195"/>
      <c r="C36" s="195"/>
      <c r="D36" s="106"/>
      <c r="E36" s="27"/>
      <c r="F36" s="315">
        <v>6</v>
      </c>
      <c r="G36" s="31">
        <v>19</v>
      </c>
      <c r="H36" s="32">
        <v>-89</v>
      </c>
      <c r="I36" s="6">
        <v>24</v>
      </c>
      <c r="J36" s="31">
        <v>17</v>
      </c>
      <c r="K36" s="99">
        <v>-84</v>
      </c>
      <c r="L36" s="470"/>
      <c r="M36" s="471"/>
      <c r="N36" s="471"/>
      <c r="O36" s="470"/>
      <c r="P36" s="471"/>
      <c r="Q36" s="684"/>
      <c r="R36" s="32">
        <v>12</v>
      </c>
      <c r="S36" s="31">
        <v>17</v>
      </c>
      <c r="T36" s="32">
        <v>-82</v>
      </c>
      <c r="U36" s="30">
        <v>24</v>
      </c>
      <c r="V36" s="24">
        <v>17</v>
      </c>
      <c r="W36" s="10">
        <v>-79</v>
      </c>
      <c r="X36" s="470"/>
      <c r="Y36" s="471"/>
      <c r="Z36" s="471"/>
      <c r="AA36" s="470"/>
      <c r="AB36" s="471"/>
      <c r="AC36" s="472"/>
      <c r="AD36" s="470"/>
      <c r="AE36" s="471"/>
      <c r="AF36" s="471"/>
      <c r="AG36" s="470"/>
      <c r="AH36" s="471"/>
      <c r="AI36" s="472"/>
      <c r="AJ36" s="470"/>
      <c r="AK36" s="471"/>
      <c r="AL36" s="471"/>
      <c r="AM36" s="470"/>
      <c r="AN36" s="471"/>
      <c r="AO36" s="472"/>
      <c r="AP36" s="470"/>
      <c r="AQ36" s="471"/>
      <c r="AR36" s="471"/>
      <c r="AS36" s="470"/>
      <c r="AT36" s="471"/>
      <c r="AU36" s="472"/>
      <c r="AV36" s="470"/>
      <c r="AW36" s="471"/>
      <c r="AX36" s="471"/>
      <c r="AY36" s="470"/>
      <c r="AZ36" s="471"/>
      <c r="BA36" s="472"/>
      <c r="BB36" s="30">
        <v>12</v>
      </c>
      <c r="BC36" s="31">
        <v>17</v>
      </c>
      <c r="BD36" s="32">
        <v>-82</v>
      </c>
      <c r="BE36" s="30">
        <v>24</v>
      </c>
      <c r="BF36" s="24">
        <v>17</v>
      </c>
      <c r="BG36" s="10">
        <v>-79</v>
      </c>
      <c r="BH36" s="470"/>
      <c r="BI36" s="471"/>
      <c r="BJ36" s="471"/>
      <c r="BK36" s="470"/>
      <c r="BL36" s="471"/>
      <c r="BM36" s="472"/>
      <c r="BN36" s="470"/>
      <c r="BO36" s="471"/>
      <c r="BP36" s="471"/>
      <c r="BQ36" s="470"/>
      <c r="BR36" s="471"/>
      <c r="BS36" s="472"/>
      <c r="BT36" s="470"/>
      <c r="BU36" s="471"/>
      <c r="BV36" s="471"/>
      <c r="BW36" s="470"/>
      <c r="BX36" s="471"/>
      <c r="BY36" s="472"/>
      <c r="BZ36" s="470"/>
      <c r="CA36" s="471"/>
      <c r="CB36" s="471"/>
      <c r="CC36" s="470"/>
      <c r="CD36" s="471"/>
      <c r="CE36" s="472"/>
      <c r="CF36" s="470"/>
      <c r="CG36" s="471"/>
      <c r="CH36" s="471"/>
      <c r="CI36" s="470"/>
      <c r="CJ36" s="471"/>
      <c r="CK36" s="472"/>
    </row>
    <row r="37" spans="2:89" ht="10.5" x14ac:dyDescent="0.25">
      <c r="B37" s="195"/>
      <c r="C37" s="195"/>
      <c r="D37" s="106"/>
      <c r="E37" s="27"/>
      <c r="F37" s="315">
        <v>9</v>
      </c>
      <c r="G37" s="31">
        <v>19</v>
      </c>
      <c r="H37" s="32">
        <v>-88</v>
      </c>
      <c r="I37" s="6">
        <v>36</v>
      </c>
      <c r="J37" s="31">
        <v>17</v>
      </c>
      <c r="K37" s="99">
        <v>-82</v>
      </c>
      <c r="L37" s="470"/>
      <c r="M37" s="471"/>
      <c r="N37" s="471"/>
      <c r="O37" s="470"/>
      <c r="P37" s="471"/>
      <c r="Q37" s="684"/>
      <c r="R37" s="32">
        <v>18</v>
      </c>
      <c r="S37" s="31">
        <v>17</v>
      </c>
      <c r="T37" s="32">
        <v>-81</v>
      </c>
      <c r="U37" s="30">
        <v>36</v>
      </c>
      <c r="V37" s="24">
        <v>17</v>
      </c>
      <c r="W37" s="10">
        <v>-78</v>
      </c>
      <c r="X37" s="470"/>
      <c r="Y37" s="471"/>
      <c r="Z37" s="471"/>
      <c r="AA37" s="470"/>
      <c r="AB37" s="471"/>
      <c r="AC37" s="472"/>
      <c r="AD37" s="470"/>
      <c r="AE37" s="471"/>
      <c r="AF37" s="471"/>
      <c r="AG37" s="470"/>
      <c r="AH37" s="471"/>
      <c r="AI37" s="472"/>
      <c r="AJ37" s="470"/>
      <c r="AK37" s="471"/>
      <c r="AL37" s="471"/>
      <c r="AM37" s="470"/>
      <c r="AN37" s="471"/>
      <c r="AO37" s="472"/>
      <c r="AP37" s="470"/>
      <c r="AQ37" s="471"/>
      <c r="AR37" s="471"/>
      <c r="AS37" s="470"/>
      <c r="AT37" s="471"/>
      <c r="AU37" s="472"/>
      <c r="AV37" s="470"/>
      <c r="AW37" s="471"/>
      <c r="AX37" s="471"/>
      <c r="AY37" s="470"/>
      <c r="AZ37" s="471"/>
      <c r="BA37" s="472"/>
      <c r="BB37" s="30">
        <v>18</v>
      </c>
      <c r="BC37" s="31">
        <v>17</v>
      </c>
      <c r="BD37" s="32">
        <v>-81</v>
      </c>
      <c r="BE37" s="30">
        <v>36</v>
      </c>
      <c r="BF37" s="24">
        <v>17</v>
      </c>
      <c r="BG37" s="10">
        <v>-78</v>
      </c>
      <c r="BH37" s="470"/>
      <c r="BI37" s="471"/>
      <c r="BJ37" s="471"/>
      <c r="BK37" s="470"/>
      <c r="BL37" s="471"/>
      <c r="BM37" s="472"/>
      <c r="BN37" s="470"/>
      <c r="BO37" s="471"/>
      <c r="BP37" s="471"/>
      <c r="BQ37" s="470"/>
      <c r="BR37" s="471"/>
      <c r="BS37" s="472"/>
      <c r="BT37" s="470"/>
      <c r="BU37" s="471"/>
      <c r="BV37" s="471"/>
      <c r="BW37" s="470"/>
      <c r="BX37" s="471"/>
      <c r="BY37" s="472"/>
      <c r="BZ37" s="470"/>
      <c r="CA37" s="471"/>
      <c r="CB37" s="471"/>
      <c r="CC37" s="470"/>
      <c r="CD37" s="471"/>
      <c r="CE37" s="472"/>
      <c r="CF37" s="470"/>
      <c r="CG37" s="471"/>
      <c r="CH37" s="471"/>
      <c r="CI37" s="470"/>
      <c r="CJ37" s="471"/>
      <c r="CK37" s="472"/>
    </row>
    <row r="38" spans="2:89" ht="10.5" x14ac:dyDescent="0.25">
      <c r="B38" s="195"/>
      <c r="C38" s="195"/>
      <c r="D38" s="106"/>
      <c r="E38" s="27"/>
      <c r="F38" s="315">
        <v>11</v>
      </c>
      <c r="G38" s="31">
        <v>19</v>
      </c>
      <c r="H38" s="32">
        <v>-88</v>
      </c>
      <c r="I38" s="6">
        <v>48</v>
      </c>
      <c r="J38" s="31">
        <v>17</v>
      </c>
      <c r="K38" s="99">
        <v>-80</v>
      </c>
      <c r="L38" s="470"/>
      <c r="M38" s="471"/>
      <c r="N38" s="471"/>
      <c r="O38" s="470"/>
      <c r="P38" s="471"/>
      <c r="Q38" s="684"/>
      <c r="R38" s="32">
        <v>24</v>
      </c>
      <c r="S38" s="31">
        <v>17</v>
      </c>
      <c r="T38" s="32">
        <v>-79</v>
      </c>
      <c r="U38" s="30">
        <v>48</v>
      </c>
      <c r="V38" s="24">
        <v>17</v>
      </c>
      <c r="W38" s="10">
        <v>-76</v>
      </c>
      <c r="X38" s="470"/>
      <c r="Y38" s="471"/>
      <c r="Z38" s="471"/>
      <c r="AA38" s="470"/>
      <c r="AB38" s="471"/>
      <c r="AC38" s="472"/>
      <c r="AD38" s="470"/>
      <c r="AE38" s="471"/>
      <c r="AF38" s="471"/>
      <c r="AG38" s="470"/>
      <c r="AH38" s="471"/>
      <c r="AI38" s="472"/>
      <c r="AJ38" s="470"/>
      <c r="AK38" s="471"/>
      <c r="AL38" s="471"/>
      <c r="AM38" s="470"/>
      <c r="AN38" s="471"/>
      <c r="AO38" s="472"/>
      <c r="AP38" s="470"/>
      <c r="AQ38" s="471"/>
      <c r="AR38" s="471"/>
      <c r="AS38" s="470"/>
      <c r="AT38" s="471"/>
      <c r="AU38" s="472"/>
      <c r="AV38" s="470"/>
      <c r="AW38" s="471"/>
      <c r="AX38" s="471"/>
      <c r="AY38" s="470"/>
      <c r="AZ38" s="471"/>
      <c r="BA38" s="472"/>
      <c r="BB38" s="30">
        <v>24</v>
      </c>
      <c r="BC38" s="31">
        <v>17</v>
      </c>
      <c r="BD38" s="32">
        <v>-79</v>
      </c>
      <c r="BE38" s="30">
        <v>48</v>
      </c>
      <c r="BF38" s="24">
        <v>17</v>
      </c>
      <c r="BG38" s="10">
        <v>-76</v>
      </c>
      <c r="BH38" s="470"/>
      <c r="BI38" s="471"/>
      <c r="BJ38" s="471"/>
      <c r="BK38" s="470"/>
      <c r="BL38" s="471"/>
      <c r="BM38" s="472"/>
      <c r="BN38" s="470"/>
      <c r="BO38" s="471"/>
      <c r="BP38" s="471"/>
      <c r="BQ38" s="470"/>
      <c r="BR38" s="471"/>
      <c r="BS38" s="472"/>
      <c r="BT38" s="470"/>
      <c r="BU38" s="471"/>
      <c r="BV38" s="471"/>
      <c r="BW38" s="470"/>
      <c r="BX38" s="471"/>
      <c r="BY38" s="472"/>
      <c r="BZ38" s="470"/>
      <c r="CA38" s="471"/>
      <c r="CB38" s="471"/>
      <c r="CC38" s="470"/>
      <c r="CD38" s="471"/>
      <c r="CE38" s="472"/>
      <c r="CF38" s="470"/>
      <c r="CG38" s="471"/>
      <c r="CH38" s="471"/>
      <c r="CI38" s="470"/>
      <c r="CJ38" s="471"/>
      <c r="CK38" s="472"/>
    </row>
    <row r="39" spans="2:89" ht="10.5" x14ac:dyDescent="0.25">
      <c r="B39" s="195"/>
      <c r="C39" s="195"/>
      <c r="D39" s="106"/>
      <c r="E39" s="27"/>
      <c r="F39" s="315">
        <v>12</v>
      </c>
      <c r="G39" s="31">
        <v>19</v>
      </c>
      <c r="H39" s="32">
        <v>-87</v>
      </c>
      <c r="I39" s="6">
        <v>72</v>
      </c>
      <c r="J39" s="31">
        <v>17</v>
      </c>
      <c r="K39" s="99">
        <v>-76</v>
      </c>
      <c r="L39" s="470"/>
      <c r="M39" s="471"/>
      <c r="N39" s="471"/>
      <c r="O39" s="470"/>
      <c r="P39" s="471"/>
      <c r="Q39" s="684"/>
      <c r="R39" s="32">
        <v>36</v>
      </c>
      <c r="S39" s="31">
        <v>16</v>
      </c>
      <c r="T39" s="32">
        <v>-76</v>
      </c>
      <c r="U39" s="30">
        <v>72</v>
      </c>
      <c r="V39" s="24">
        <v>16</v>
      </c>
      <c r="W39" s="10">
        <v>-73</v>
      </c>
      <c r="X39" s="470"/>
      <c r="Y39" s="471"/>
      <c r="Z39" s="471"/>
      <c r="AA39" s="470"/>
      <c r="AB39" s="471"/>
      <c r="AC39" s="472"/>
      <c r="AD39" s="470"/>
      <c r="AE39" s="471"/>
      <c r="AF39" s="471"/>
      <c r="AG39" s="470"/>
      <c r="AH39" s="471"/>
      <c r="AI39" s="472"/>
      <c r="AJ39" s="470"/>
      <c r="AK39" s="471"/>
      <c r="AL39" s="471"/>
      <c r="AM39" s="470"/>
      <c r="AN39" s="471"/>
      <c r="AO39" s="472"/>
      <c r="AP39" s="470"/>
      <c r="AQ39" s="471"/>
      <c r="AR39" s="471"/>
      <c r="AS39" s="470"/>
      <c r="AT39" s="471"/>
      <c r="AU39" s="472"/>
      <c r="AV39" s="470"/>
      <c r="AW39" s="471"/>
      <c r="AX39" s="471"/>
      <c r="AY39" s="470"/>
      <c r="AZ39" s="471"/>
      <c r="BA39" s="472"/>
      <c r="BB39" s="30">
        <v>36</v>
      </c>
      <c r="BC39" s="31">
        <v>16</v>
      </c>
      <c r="BD39" s="32">
        <v>-76</v>
      </c>
      <c r="BE39" s="30">
        <v>72</v>
      </c>
      <c r="BF39" s="24">
        <v>16</v>
      </c>
      <c r="BG39" s="10">
        <v>-73</v>
      </c>
      <c r="BH39" s="470"/>
      <c r="BI39" s="471"/>
      <c r="BJ39" s="471"/>
      <c r="BK39" s="470"/>
      <c r="BL39" s="471"/>
      <c r="BM39" s="472"/>
      <c r="BN39" s="470"/>
      <c r="BO39" s="471"/>
      <c r="BP39" s="471"/>
      <c r="BQ39" s="470"/>
      <c r="BR39" s="471"/>
      <c r="BS39" s="472"/>
      <c r="BT39" s="470"/>
      <c r="BU39" s="471"/>
      <c r="BV39" s="471"/>
      <c r="BW39" s="470"/>
      <c r="BX39" s="471"/>
      <c r="BY39" s="472"/>
      <c r="BZ39" s="470"/>
      <c r="CA39" s="471"/>
      <c r="CB39" s="471"/>
      <c r="CC39" s="470"/>
      <c r="CD39" s="471"/>
      <c r="CE39" s="472"/>
      <c r="CF39" s="470"/>
      <c r="CG39" s="471"/>
      <c r="CH39" s="471"/>
      <c r="CI39" s="470"/>
      <c r="CJ39" s="471"/>
      <c r="CK39" s="472"/>
    </row>
    <row r="40" spans="2:89" ht="10.5" x14ac:dyDescent="0.25">
      <c r="B40" s="195"/>
      <c r="C40" s="195"/>
      <c r="D40" s="106"/>
      <c r="E40" s="27"/>
      <c r="F40" s="315">
        <v>18</v>
      </c>
      <c r="G40" s="31">
        <v>19</v>
      </c>
      <c r="H40" s="32">
        <v>-85</v>
      </c>
      <c r="I40" s="6">
        <v>96</v>
      </c>
      <c r="J40" s="31">
        <v>17</v>
      </c>
      <c r="K40" s="99">
        <v>-72</v>
      </c>
      <c r="L40" s="470"/>
      <c r="M40" s="471"/>
      <c r="N40" s="471"/>
      <c r="O40" s="470"/>
      <c r="P40" s="471"/>
      <c r="Q40" s="684"/>
      <c r="R40" s="32">
        <v>48</v>
      </c>
      <c r="S40" s="31">
        <v>15</v>
      </c>
      <c r="T40" s="32">
        <v>-72</v>
      </c>
      <c r="U40" s="30">
        <v>96</v>
      </c>
      <c r="V40" s="24">
        <v>15</v>
      </c>
      <c r="W40" s="10">
        <v>-68</v>
      </c>
      <c r="X40" s="470"/>
      <c r="Y40" s="471"/>
      <c r="Z40" s="471"/>
      <c r="AA40" s="470"/>
      <c r="AB40" s="471"/>
      <c r="AC40" s="472"/>
      <c r="AD40" s="470"/>
      <c r="AE40" s="471"/>
      <c r="AF40" s="471"/>
      <c r="AG40" s="470"/>
      <c r="AH40" s="471"/>
      <c r="AI40" s="472"/>
      <c r="AJ40" s="470"/>
      <c r="AK40" s="471"/>
      <c r="AL40" s="471"/>
      <c r="AM40" s="470"/>
      <c r="AN40" s="471"/>
      <c r="AO40" s="472"/>
      <c r="AP40" s="470"/>
      <c r="AQ40" s="471"/>
      <c r="AR40" s="471"/>
      <c r="AS40" s="470"/>
      <c r="AT40" s="471"/>
      <c r="AU40" s="472"/>
      <c r="AV40" s="470"/>
      <c r="AW40" s="471"/>
      <c r="AX40" s="471"/>
      <c r="AY40" s="470"/>
      <c r="AZ40" s="471"/>
      <c r="BA40" s="472"/>
      <c r="BB40" s="30">
        <v>48</v>
      </c>
      <c r="BC40" s="31">
        <v>15</v>
      </c>
      <c r="BD40" s="32">
        <v>-72</v>
      </c>
      <c r="BE40" s="30">
        <v>96</v>
      </c>
      <c r="BF40" s="24">
        <v>15</v>
      </c>
      <c r="BG40" s="10">
        <v>-68</v>
      </c>
      <c r="BH40" s="470"/>
      <c r="BI40" s="471"/>
      <c r="BJ40" s="471"/>
      <c r="BK40" s="470"/>
      <c r="BL40" s="471"/>
      <c r="BM40" s="472"/>
      <c r="BN40" s="470"/>
      <c r="BO40" s="471"/>
      <c r="BP40" s="471"/>
      <c r="BQ40" s="470"/>
      <c r="BR40" s="471"/>
      <c r="BS40" s="472"/>
      <c r="BT40" s="470"/>
      <c r="BU40" s="471"/>
      <c r="BV40" s="471"/>
      <c r="BW40" s="470"/>
      <c r="BX40" s="471"/>
      <c r="BY40" s="472"/>
      <c r="BZ40" s="470"/>
      <c r="CA40" s="471"/>
      <c r="CB40" s="471"/>
      <c r="CC40" s="470"/>
      <c r="CD40" s="471"/>
      <c r="CE40" s="472"/>
      <c r="CF40" s="470"/>
      <c r="CG40" s="471"/>
      <c r="CH40" s="471"/>
      <c r="CI40" s="470"/>
      <c r="CJ40" s="471"/>
      <c r="CK40" s="472"/>
    </row>
    <row r="41" spans="2:89" ht="10.5" x14ac:dyDescent="0.25">
      <c r="B41" s="195"/>
      <c r="C41" s="195"/>
      <c r="D41" s="106"/>
      <c r="E41" s="27"/>
      <c r="F41" s="315">
        <v>24</v>
      </c>
      <c r="G41" s="31">
        <v>19</v>
      </c>
      <c r="H41" s="32">
        <v>-83</v>
      </c>
      <c r="I41" s="6">
        <v>108</v>
      </c>
      <c r="J41" s="31">
        <v>16</v>
      </c>
      <c r="K41" s="99">
        <v>-67</v>
      </c>
      <c r="L41" s="470"/>
      <c r="M41" s="471"/>
      <c r="N41" s="471"/>
      <c r="O41" s="470"/>
      <c r="P41" s="471"/>
      <c r="Q41" s="684"/>
      <c r="R41" s="32">
        <v>54</v>
      </c>
      <c r="S41" s="31">
        <v>14</v>
      </c>
      <c r="T41" s="32">
        <v>-68</v>
      </c>
      <c r="U41" s="30">
        <v>108</v>
      </c>
      <c r="V41" s="24">
        <v>14</v>
      </c>
      <c r="W41" s="10">
        <v>-65</v>
      </c>
      <c r="X41" s="470"/>
      <c r="Y41" s="471"/>
      <c r="Z41" s="471"/>
      <c r="AA41" s="470"/>
      <c r="AB41" s="471"/>
      <c r="AC41" s="472"/>
      <c r="AD41" s="470"/>
      <c r="AE41" s="471"/>
      <c r="AF41" s="471"/>
      <c r="AG41" s="470"/>
      <c r="AH41" s="471"/>
      <c r="AI41" s="472"/>
      <c r="AJ41" s="470"/>
      <c r="AK41" s="471"/>
      <c r="AL41" s="471"/>
      <c r="AM41" s="470"/>
      <c r="AN41" s="471"/>
      <c r="AO41" s="472"/>
      <c r="AP41" s="470"/>
      <c r="AQ41" s="471"/>
      <c r="AR41" s="471"/>
      <c r="AS41" s="470"/>
      <c r="AT41" s="471"/>
      <c r="AU41" s="472"/>
      <c r="AV41" s="470"/>
      <c r="AW41" s="471"/>
      <c r="AX41" s="471"/>
      <c r="AY41" s="470"/>
      <c r="AZ41" s="471"/>
      <c r="BA41" s="472"/>
      <c r="BB41" s="30">
        <v>54</v>
      </c>
      <c r="BC41" s="31">
        <v>14</v>
      </c>
      <c r="BD41" s="32">
        <v>-68</v>
      </c>
      <c r="BE41" s="30">
        <v>108</v>
      </c>
      <c r="BF41" s="24">
        <v>14</v>
      </c>
      <c r="BG41" s="10">
        <v>-65</v>
      </c>
      <c r="BH41" s="470"/>
      <c r="BI41" s="471"/>
      <c r="BJ41" s="471"/>
      <c r="BK41" s="470"/>
      <c r="BL41" s="471"/>
      <c r="BM41" s="472"/>
      <c r="BN41" s="470"/>
      <c r="BO41" s="471"/>
      <c r="BP41" s="471"/>
      <c r="BQ41" s="470"/>
      <c r="BR41" s="471"/>
      <c r="BS41" s="472"/>
      <c r="BT41" s="470"/>
      <c r="BU41" s="471"/>
      <c r="BV41" s="471"/>
      <c r="BW41" s="470"/>
      <c r="BX41" s="471"/>
      <c r="BY41" s="472"/>
      <c r="BZ41" s="470"/>
      <c r="CA41" s="471"/>
      <c r="CB41" s="471"/>
      <c r="CC41" s="470"/>
      <c r="CD41" s="471"/>
      <c r="CE41" s="472"/>
      <c r="CF41" s="470"/>
      <c r="CG41" s="471"/>
      <c r="CH41" s="471"/>
      <c r="CI41" s="470"/>
      <c r="CJ41" s="471"/>
      <c r="CK41" s="472"/>
    </row>
    <row r="42" spans="2:89" ht="10.5" x14ac:dyDescent="0.25">
      <c r="B42" s="160"/>
      <c r="C42" s="160"/>
      <c r="D42" s="60"/>
      <c r="E42" s="27"/>
      <c r="F42" s="315">
        <v>36</v>
      </c>
      <c r="G42" s="31">
        <v>18</v>
      </c>
      <c r="H42" s="32">
        <v>-79</v>
      </c>
      <c r="I42" s="6"/>
      <c r="J42" s="2"/>
      <c r="K42" s="10"/>
      <c r="L42" s="470"/>
      <c r="M42" s="471"/>
      <c r="N42" s="471"/>
      <c r="O42" s="470"/>
      <c r="P42" s="471"/>
      <c r="Q42" s="684"/>
      <c r="R42" s="2"/>
      <c r="S42" s="2"/>
      <c r="T42" s="2"/>
      <c r="U42" s="30"/>
      <c r="V42" s="2"/>
      <c r="W42" s="10"/>
      <c r="X42" s="470"/>
      <c r="Y42" s="471"/>
      <c r="Z42" s="471"/>
      <c r="AA42" s="470"/>
      <c r="AB42" s="471"/>
      <c r="AC42" s="472"/>
      <c r="AD42" s="470"/>
      <c r="AE42" s="471"/>
      <c r="AF42" s="471"/>
      <c r="AG42" s="470"/>
      <c r="AH42" s="471"/>
      <c r="AI42" s="472"/>
      <c r="AJ42" s="470"/>
      <c r="AK42" s="471"/>
      <c r="AL42" s="471"/>
      <c r="AM42" s="470"/>
      <c r="AN42" s="471"/>
      <c r="AO42" s="472"/>
      <c r="AP42" s="470"/>
      <c r="AQ42" s="471"/>
      <c r="AR42" s="471"/>
      <c r="AS42" s="470"/>
      <c r="AT42" s="471"/>
      <c r="AU42" s="472"/>
      <c r="AV42" s="470"/>
      <c r="AW42" s="471"/>
      <c r="AX42" s="471"/>
      <c r="AY42" s="470"/>
      <c r="AZ42" s="471"/>
      <c r="BA42" s="472"/>
      <c r="BB42" s="6"/>
      <c r="BC42" s="2"/>
      <c r="BD42" s="2"/>
      <c r="BE42" s="30"/>
      <c r="BF42" s="2"/>
      <c r="BG42" s="10"/>
      <c r="BH42" s="470"/>
      <c r="BI42" s="471"/>
      <c r="BJ42" s="471"/>
      <c r="BK42" s="470"/>
      <c r="BL42" s="471"/>
      <c r="BM42" s="472"/>
      <c r="BN42" s="470"/>
      <c r="BO42" s="471"/>
      <c r="BP42" s="471"/>
      <c r="BQ42" s="470"/>
      <c r="BR42" s="471"/>
      <c r="BS42" s="472"/>
      <c r="BT42" s="470"/>
      <c r="BU42" s="471"/>
      <c r="BV42" s="471"/>
      <c r="BW42" s="470"/>
      <c r="BX42" s="471"/>
      <c r="BY42" s="472"/>
      <c r="BZ42" s="470"/>
      <c r="CA42" s="471"/>
      <c r="CB42" s="471"/>
      <c r="CC42" s="470"/>
      <c r="CD42" s="471"/>
      <c r="CE42" s="472"/>
      <c r="CF42" s="470"/>
      <c r="CG42" s="471"/>
      <c r="CH42" s="471"/>
      <c r="CI42" s="470"/>
      <c r="CJ42" s="471"/>
      <c r="CK42" s="472"/>
    </row>
    <row r="43" spans="2:89" ht="10.5" x14ac:dyDescent="0.25">
      <c r="E43" s="27"/>
      <c r="F43" s="315">
        <v>48</v>
      </c>
      <c r="G43" s="31">
        <v>17</v>
      </c>
      <c r="H43" s="32">
        <v>-75</v>
      </c>
      <c r="I43" s="6"/>
      <c r="J43" s="2"/>
      <c r="K43" s="10"/>
      <c r="L43" s="470"/>
      <c r="M43" s="471"/>
      <c r="N43" s="471"/>
      <c r="O43" s="470"/>
      <c r="P43" s="471"/>
      <c r="Q43" s="684"/>
      <c r="R43" s="2"/>
      <c r="S43" s="31"/>
      <c r="T43" s="31"/>
      <c r="U43" s="30"/>
      <c r="V43" s="2"/>
      <c r="W43" s="10"/>
      <c r="X43" s="470"/>
      <c r="Y43" s="471"/>
      <c r="Z43" s="471"/>
      <c r="AA43" s="470"/>
      <c r="AB43" s="471"/>
      <c r="AC43" s="472"/>
      <c r="AD43" s="470"/>
      <c r="AE43" s="471"/>
      <c r="AF43" s="471"/>
      <c r="AG43" s="470"/>
      <c r="AH43" s="471"/>
      <c r="AI43" s="472"/>
      <c r="AJ43" s="470"/>
      <c r="AK43" s="471"/>
      <c r="AL43" s="471"/>
      <c r="AM43" s="470"/>
      <c r="AN43" s="471"/>
      <c r="AO43" s="472"/>
      <c r="AP43" s="470"/>
      <c r="AQ43" s="471"/>
      <c r="AR43" s="471"/>
      <c r="AS43" s="470"/>
      <c r="AT43" s="471"/>
      <c r="AU43" s="472"/>
      <c r="AV43" s="470"/>
      <c r="AW43" s="471"/>
      <c r="AX43" s="471"/>
      <c r="AY43" s="470"/>
      <c r="AZ43" s="471"/>
      <c r="BA43" s="472"/>
      <c r="BB43" s="6"/>
      <c r="BC43" s="31"/>
      <c r="BD43" s="31"/>
      <c r="BE43" s="30"/>
      <c r="BF43" s="2"/>
      <c r="BG43" s="10"/>
      <c r="BH43" s="470"/>
      <c r="BI43" s="471"/>
      <c r="BJ43" s="471"/>
      <c r="BK43" s="470"/>
      <c r="BL43" s="471"/>
      <c r="BM43" s="472"/>
      <c r="BN43" s="470"/>
      <c r="BO43" s="471"/>
      <c r="BP43" s="471"/>
      <c r="BQ43" s="470"/>
      <c r="BR43" s="471"/>
      <c r="BS43" s="472"/>
      <c r="BT43" s="470"/>
      <c r="BU43" s="471"/>
      <c r="BV43" s="471"/>
      <c r="BW43" s="470"/>
      <c r="BX43" s="471"/>
      <c r="BY43" s="472"/>
      <c r="BZ43" s="470"/>
      <c r="CA43" s="471"/>
      <c r="CB43" s="471"/>
      <c r="CC43" s="470"/>
      <c r="CD43" s="471"/>
      <c r="CE43" s="472"/>
      <c r="CF43" s="470"/>
      <c r="CG43" s="471"/>
      <c r="CH43" s="471"/>
      <c r="CI43" s="470"/>
      <c r="CJ43" s="471"/>
      <c r="CK43" s="472"/>
    </row>
    <row r="44" spans="2:89" ht="11" thickBot="1" x14ac:dyDescent="0.3">
      <c r="E44" s="27"/>
      <c r="F44" s="316">
        <v>54</v>
      </c>
      <c r="G44" s="317">
        <v>16</v>
      </c>
      <c r="H44" s="317">
        <v>-70</v>
      </c>
      <c r="I44" s="300"/>
      <c r="J44" s="55"/>
      <c r="K44" s="309"/>
      <c r="L44" s="473"/>
      <c r="M44" s="474"/>
      <c r="N44" s="474"/>
      <c r="O44" s="473"/>
      <c r="P44" s="474"/>
      <c r="Q44" s="685"/>
      <c r="R44" s="8"/>
      <c r="S44" s="41"/>
      <c r="T44" s="41"/>
      <c r="U44" s="33"/>
      <c r="V44" s="8"/>
      <c r="W44" s="11"/>
      <c r="X44" s="473"/>
      <c r="Y44" s="474"/>
      <c r="Z44" s="474"/>
      <c r="AA44" s="473"/>
      <c r="AB44" s="474"/>
      <c r="AC44" s="475"/>
      <c r="AD44" s="473"/>
      <c r="AE44" s="474"/>
      <c r="AF44" s="474"/>
      <c r="AG44" s="473"/>
      <c r="AH44" s="474"/>
      <c r="AI44" s="475"/>
      <c r="AJ44" s="473"/>
      <c r="AK44" s="474"/>
      <c r="AL44" s="474"/>
      <c r="AM44" s="473"/>
      <c r="AN44" s="474"/>
      <c r="AO44" s="475"/>
      <c r="AP44" s="473"/>
      <c r="AQ44" s="474"/>
      <c r="AR44" s="474"/>
      <c r="AS44" s="473"/>
      <c r="AT44" s="474"/>
      <c r="AU44" s="475"/>
      <c r="AV44" s="473"/>
      <c r="AW44" s="474"/>
      <c r="AX44" s="474"/>
      <c r="AY44" s="473"/>
      <c r="AZ44" s="474"/>
      <c r="BA44" s="475"/>
      <c r="BB44" s="7"/>
      <c r="BC44" s="41"/>
      <c r="BD44" s="41"/>
      <c r="BE44" s="33"/>
      <c r="BF44" s="8"/>
      <c r="BG44" s="11"/>
      <c r="BH44" s="473"/>
      <c r="BI44" s="474"/>
      <c r="BJ44" s="474"/>
      <c r="BK44" s="473"/>
      <c r="BL44" s="474"/>
      <c r="BM44" s="475"/>
      <c r="BN44" s="473"/>
      <c r="BO44" s="474"/>
      <c r="BP44" s="474"/>
      <c r="BQ44" s="473"/>
      <c r="BR44" s="474"/>
      <c r="BS44" s="475"/>
      <c r="BT44" s="473"/>
      <c r="BU44" s="474"/>
      <c r="BV44" s="474"/>
      <c r="BW44" s="473"/>
      <c r="BX44" s="474"/>
      <c r="BY44" s="475"/>
      <c r="BZ44" s="473"/>
      <c r="CA44" s="474"/>
      <c r="CB44" s="474"/>
      <c r="CC44" s="473"/>
      <c r="CD44" s="474"/>
      <c r="CE44" s="475"/>
      <c r="CF44" s="473"/>
      <c r="CG44" s="474"/>
      <c r="CH44" s="474"/>
      <c r="CI44" s="473"/>
      <c r="CJ44" s="474"/>
      <c r="CK44" s="475"/>
    </row>
    <row r="45" spans="2:89" ht="10.5" x14ac:dyDescent="0.25">
      <c r="E45" s="27"/>
      <c r="F45" s="25"/>
      <c r="G45" s="25"/>
      <c r="H45" s="25"/>
      <c r="I45" s="25"/>
      <c r="J45" s="25"/>
      <c r="K45" s="32"/>
      <c r="L45" s="32"/>
      <c r="M45" s="32"/>
      <c r="N45" s="32"/>
      <c r="O45" s="32"/>
      <c r="P45" s="32"/>
      <c r="Q45" s="32"/>
      <c r="R45" s="2"/>
      <c r="S45" s="31"/>
      <c r="T45" s="31"/>
      <c r="U45" s="32"/>
      <c r="V45" s="2"/>
      <c r="W45" s="2"/>
      <c r="X45" s="2"/>
      <c r="Y45" s="2"/>
      <c r="Z45" s="2"/>
      <c r="AA45" s="2"/>
      <c r="AB45" s="2"/>
      <c r="AC45" s="2"/>
      <c r="AJ45" s="2"/>
      <c r="AK45" s="2"/>
      <c r="AL45" s="2"/>
      <c r="AM45" s="2"/>
      <c r="AN45" s="2"/>
      <c r="AO45" s="2"/>
      <c r="AV45" s="2"/>
      <c r="AW45" s="2"/>
      <c r="AX45" s="2"/>
      <c r="AY45" s="2"/>
      <c r="AZ45" s="2"/>
      <c r="BA45" s="2"/>
      <c r="BH45" s="2"/>
      <c r="BI45" s="2"/>
      <c r="BJ45" s="2"/>
      <c r="BK45" s="2"/>
      <c r="BL45" s="2"/>
      <c r="BM45" s="2"/>
      <c r="BT45" s="2"/>
      <c r="BU45" s="2"/>
      <c r="BV45" s="2"/>
      <c r="BW45" s="2"/>
      <c r="BX45" s="2"/>
      <c r="BY45" s="2"/>
    </row>
    <row r="46" spans="2:89" ht="10.5" x14ac:dyDescent="0.25">
      <c r="E46" s="25"/>
      <c r="F46" s="26" t="s">
        <v>0</v>
      </c>
      <c r="G46" s="26"/>
      <c r="H46" s="26"/>
      <c r="I46" s="26"/>
      <c r="J46" s="26"/>
      <c r="K46" s="26"/>
      <c r="L46" s="32"/>
      <c r="M46" s="32"/>
      <c r="N46" s="32"/>
      <c r="O46" s="32"/>
      <c r="P46" s="32"/>
      <c r="Q46" s="32"/>
      <c r="R46" s="26" t="s">
        <v>1</v>
      </c>
      <c r="S46" s="25"/>
      <c r="T46" s="25"/>
      <c r="U46" s="25"/>
      <c r="X46" s="2"/>
      <c r="Y46" s="2"/>
      <c r="Z46" s="2"/>
      <c r="AA46" s="2"/>
      <c r="AB46" s="2"/>
      <c r="AC46" s="2"/>
      <c r="AD46" s="853" t="s">
        <v>410</v>
      </c>
      <c r="AE46" s="852"/>
      <c r="AF46" s="852"/>
      <c r="AG46" s="852"/>
      <c r="AJ46" s="2"/>
      <c r="AK46" s="2"/>
      <c r="AL46" s="2"/>
      <c r="AM46" s="2"/>
      <c r="AN46" s="2"/>
      <c r="AO46" s="2"/>
      <c r="AP46" s="853" t="s">
        <v>411</v>
      </c>
      <c r="AQ46" s="852"/>
      <c r="AR46" s="852"/>
      <c r="AS46" s="852"/>
      <c r="AV46" s="2"/>
      <c r="AW46" s="2"/>
      <c r="AX46" s="2"/>
      <c r="AY46" s="2"/>
      <c r="AZ46" s="2"/>
      <c r="BA46" s="2"/>
      <c r="BB46" s="44" t="s">
        <v>223</v>
      </c>
      <c r="BH46" s="2"/>
      <c r="BI46" s="2"/>
      <c r="BJ46" s="2"/>
      <c r="BK46" s="2"/>
      <c r="BL46" s="2"/>
      <c r="BM46" s="2"/>
      <c r="BN46" s="44" t="s">
        <v>351</v>
      </c>
      <c r="BT46" s="2"/>
      <c r="BU46" s="2"/>
      <c r="BV46" s="2"/>
      <c r="BW46" s="2"/>
      <c r="BX46" s="2"/>
      <c r="BY46" s="2"/>
      <c r="BZ46" s="44" t="s">
        <v>515</v>
      </c>
      <c r="CF46" s="2"/>
      <c r="CG46" s="2"/>
      <c r="CH46" s="2"/>
      <c r="CI46" s="2"/>
      <c r="CJ46" s="2"/>
      <c r="CK46" s="2"/>
    </row>
    <row r="47" spans="2:89" ht="11" thickBot="1" x14ac:dyDescent="0.3">
      <c r="E47" s="25"/>
      <c r="F47" s="26" t="s">
        <v>113</v>
      </c>
      <c r="G47" s="26" t="s">
        <v>108</v>
      </c>
      <c r="H47" s="26" t="s">
        <v>109</v>
      </c>
      <c r="I47" s="26" t="s">
        <v>110</v>
      </c>
      <c r="J47" s="26" t="s">
        <v>111</v>
      </c>
      <c r="K47" s="26" t="s">
        <v>112</v>
      </c>
      <c r="L47" s="32"/>
      <c r="M47" s="32"/>
      <c r="N47" s="32"/>
      <c r="O47" s="32"/>
      <c r="P47" s="32"/>
      <c r="Q47" s="32"/>
      <c r="R47" s="26" t="s">
        <v>113</v>
      </c>
      <c r="S47" s="159" t="s">
        <v>108</v>
      </c>
      <c r="T47" s="159" t="s">
        <v>109</v>
      </c>
      <c r="U47" s="26" t="s">
        <v>110</v>
      </c>
      <c r="V47" s="26" t="s">
        <v>111</v>
      </c>
      <c r="W47" s="26" t="s">
        <v>112</v>
      </c>
      <c r="X47" s="2"/>
      <c r="Y47" s="2"/>
      <c r="Z47" s="2"/>
      <c r="AA47" s="2"/>
      <c r="AB47" s="2"/>
      <c r="AC47" s="2"/>
      <c r="AD47" s="159" t="s">
        <v>88</v>
      </c>
      <c r="AE47" s="159" t="s">
        <v>83</v>
      </c>
      <c r="AF47" s="159" t="s">
        <v>84</v>
      </c>
      <c r="AG47" s="159" t="s">
        <v>87</v>
      </c>
      <c r="AH47" s="159" t="s">
        <v>85</v>
      </c>
      <c r="AI47" s="159" t="s">
        <v>86</v>
      </c>
      <c r="AJ47" s="2"/>
      <c r="AK47" s="2"/>
      <c r="AL47" s="2"/>
      <c r="AM47" s="2"/>
      <c r="AN47" s="2"/>
      <c r="AO47" s="2"/>
      <c r="AP47" s="159" t="s">
        <v>88</v>
      </c>
      <c r="AQ47" s="159" t="s">
        <v>83</v>
      </c>
      <c r="AR47" s="159" t="s">
        <v>84</v>
      </c>
      <c r="AS47" s="159" t="s">
        <v>87</v>
      </c>
      <c r="AT47" s="159" t="s">
        <v>85</v>
      </c>
      <c r="AU47" s="159" t="s">
        <v>86</v>
      </c>
      <c r="AV47" s="2"/>
      <c r="AW47" s="2"/>
      <c r="AX47" s="2"/>
      <c r="AY47" s="2"/>
      <c r="AZ47" s="2"/>
      <c r="BA47" s="2"/>
      <c r="BB47" s="102" t="s">
        <v>88</v>
      </c>
      <c r="BC47" s="102" t="s">
        <v>83</v>
      </c>
      <c r="BD47" s="102" t="s">
        <v>84</v>
      </c>
      <c r="BE47" s="102" t="s">
        <v>87</v>
      </c>
      <c r="BF47" s="102" t="s">
        <v>85</v>
      </c>
      <c r="BG47" s="102" t="s">
        <v>86</v>
      </c>
      <c r="BH47" s="2"/>
      <c r="BI47" s="2"/>
      <c r="BJ47" s="2"/>
      <c r="BK47" s="2"/>
      <c r="BL47" s="2"/>
      <c r="BM47" s="2"/>
      <c r="BN47" s="102" t="s">
        <v>88</v>
      </c>
      <c r="BO47" s="102" t="s">
        <v>83</v>
      </c>
      <c r="BP47" s="102" t="s">
        <v>84</v>
      </c>
      <c r="BQ47" s="102" t="s">
        <v>87</v>
      </c>
      <c r="BR47" s="102" t="s">
        <v>85</v>
      </c>
      <c r="BS47" s="102" t="s">
        <v>86</v>
      </c>
      <c r="BT47" s="2"/>
      <c r="BU47" s="2"/>
      <c r="BV47" s="2"/>
      <c r="BW47" s="2"/>
      <c r="BX47" s="2"/>
      <c r="BY47" s="2"/>
      <c r="BZ47" s="102" t="s">
        <v>88</v>
      </c>
      <c r="CA47" s="102" t="s">
        <v>83</v>
      </c>
      <c r="CB47" s="102" t="s">
        <v>84</v>
      </c>
      <c r="CC47" s="102" t="s">
        <v>87</v>
      </c>
      <c r="CD47" s="102" t="s">
        <v>85</v>
      </c>
      <c r="CE47" s="102" t="s">
        <v>86</v>
      </c>
      <c r="CF47" s="102" t="s">
        <v>512</v>
      </c>
      <c r="CG47" s="102" t="s">
        <v>514</v>
      </c>
      <c r="CH47" s="102" t="s">
        <v>513</v>
      </c>
      <c r="CI47" s="102" t="s">
        <v>516</v>
      </c>
      <c r="CJ47" s="102" t="s">
        <v>517</v>
      </c>
      <c r="CK47" s="102" t="s">
        <v>518</v>
      </c>
    </row>
    <row r="48" spans="2:89" x14ac:dyDescent="0.2">
      <c r="E48" s="25" t="s">
        <v>27</v>
      </c>
      <c r="F48" s="310">
        <v>1</v>
      </c>
      <c r="G48" s="301">
        <v>15</v>
      </c>
      <c r="H48" s="312">
        <v>-94</v>
      </c>
      <c r="I48" s="295">
        <v>12</v>
      </c>
      <c r="J48" s="301">
        <v>17</v>
      </c>
      <c r="K48" s="688">
        <v>-84</v>
      </c>
      <c r="L48" s="467"/>
      <c r="M48" s="468"/>
      <c r="N48" s="468"/>
      <c r="O48" s="467"/>
      <c r="P48" s="468"/>
      <c r="Q48" s="683"/>
      <c r="R48" s="29">
        <v>6</v>
      </c>
      <c r="S48" s="38">
        <v>18</v>
      </c>
      <c r="T48" s="48">
        <v>-87</v>
      </c>
      <c r="U48" s="28">
        <v>12</v>
      </c>
      <c r="V48" s="96">
        <v>18</v>
      </c>
      <c r="W48" s="45">
        <v>-84</v>
      </c>
      <c r="X48" s="467"/>
      <c r="Y48" s="468"/>
      <c r="Z48" s="468"/>
      <c r="AA48" s="467"/>
      <c r="AB48" s="468"/>
      <c r="AC48" s="469"/>
      <c r="AD48" s="467"/>
      <c r="AE48" s="468"/>
      <c r="AF48" s="468"/>
      <c r="AG48" s="467"/>
      <c r="AH48" s="468"/>
      <c r="AI48" s="469"/>
      <c r="AJ48" s="467"/>
      <c r="AK48" s="468"/>
      <c r="AL48" s="468"/>
      <c r="AM48" s="467"/>
      <c r="AN48" s="468"/>
      <c r="AO48" s="469"/>
      <c r="AP48" s="467"/>
      <c r="AQ48" s="468"/>
      <c r="AR48" s="468"/>
      <c r="AS48" s="467"/>
      <c r="AT48" s="468"/>
      <c r="AU48" s="469"/>
      <c r="AV48" s="467"/>
      <c r="AW48" s="468"/>
      <c r="AX48" s="468"/>
      <c r="AY48" s="467"/>
      <c r="AZ48" s="468"/>
      <c r="BA48" s="469"/>
      <c r="BB48" s="28">
        <v>6</v>
      </c>
      <c r="BC48" s="38">
        <v>18</v>
      </c>
      <c r="BD48" s="48">
        <v>-87</v>
      </c>
      <c r="BE48" s="28">
        <v>12</v>
      </c>
      <c r="BF48" s="96">
        <v>18</v>
      </c>
      <c r="BG48" s="45">
        <v>-84</v>
      </c>
      <c r="BH48" s="467"/>
      <c r="BI48" s="468"/>
      <c r="BJ48" s="468"/>
      <c r="BK48" s="467"/>
      <c r="BL48" s="468"/>
      <c r="BM48" s="469"/>
      <c r="BN48" s="467"/>
      <c r="BO48" s="468"/>
      <c r="BP48" s="468"/>
      <c r="BQ48" s="467"/>
      <c r="BR48" s="468"/>
      <c r="BS48" s="469"/>
      <c r="BT48" s="467"/>
      <c r="BU48" s="468"/>
      <c r="BV48" s="468"/>
      <c r="BW48" s="467"/>
      <c r="BX48" s="468"/>
      <c r="BY48" s="469"/>
      <c r="BZ48" s="467"/>
      <c r="CA48" s="468"/>
      <c r="CB48" s="468"/>
      <c r="CC48" s="467"/>
      <c r="CD48" s="468"/>
      <c r="CE48" s="469"/>
      <c r="CF48" s="467"/>
      <c r="CG48" s="468"/>
      <c r="CH48" s="468"/>
      <c r="CI48" s="467"/>
      <c r="CJ48" s="468"/>
      <c r="CK48" s="469"/>
    </row>
    <row r="49" spans="5:89" x14ac:dyDescent="0.2">
      <c r="E49" s="233" t="s">
        <v>43</v>
      </c>
      <c r="F49" s="314">
        <v>5.5</v>
      </c>
      <c r="G49" s="31">
        <v>15</v>
      </c>
      <c r="H49" s="47">
        <v>-90</v>
      </c>
      <c r="I49" s="6">
        <v>18</v>
      </c>
      <c r="J49" s="31">
        <v>17</v>
      </c>
      <c r="K49" s="105">
        <v>-83</v>
      </c>
      <c r="L49" s="470"/>
      <c r="M49" s="471"/>
      <c r="N49" s="471"/>
      <c r="O49" s="470"/>
      <c r="P49" s="471"/>
      <c r="Q49" s="684"/>
      <c r="R49" s="32">
        <v>9</v>
      </c>
      <c r="S49" s="31">
        <v>18</v>
      </c>
      <c r="T49" s="47">
        <v>-86</v>
      </c>
      <c r="U49" s="30">
        <v>18</v>
      </c>
      <c r="V49" s="24">
        <v>18</v>
      </c>
      <c r="W49" s="46">
        <v>-83</v>
      </c>
      <c r="X49" s="470"/>
      <c r="Y49" s="471"/>
      <c r="Z49" s="471"/>
      <c r="AA49" s="470"/>
      <c r="AB49" s="471"/>
      <c r="AC49" s="472"/>
      <c r="AD49" s="470"/>
      <c r="AE49" s="471"/>
      <c r="AF49" s="471"/>
      <c r="AG49" s="470"/>
      <c r="AH49" s="471"/>
      <c r="AI49" s="472"/>
      <c r="AJ49" s="470"/>
      <c r="AK49" s="471"/>
      <c r="AL49" s="471"/>
      <c r="AM49" s="470"/>
      <c r="AN49" s="471"/>
      <c r="AO49" s="472"/>
      <c r="AP49" s="470"/>
      <c r="AQ49" s="471"/>
      <c r="AR49" s="471"/>
      <c r="AS49" s="470"/>
      <c r="AT49" s="471"/>
      <c r="AU49" s="472"/>
      <c r="AV49" s="470"/>
      <c r="AW49" s="471"/>
      <c r="AX49" s="471"/>
      <c r="AY49" s="470"/>
      <c r="AZ49" s="471"/>
      <c r="BA49" s="472"/>
      <c r="BB49" s="30">
        <v>9</v>
      </c>
      <c r="BC49" s="31">
        <v>18</v>
      </c>
      <c r="BD49" s="47">
        <v>-86</v>
      </c>
      <c r="BE49" s="30">
        <v>18</v>
      </c>
      <c r="BF49" s="24">
        <v>18</v>
      </c>
      <c r="BG49" s="46">
        <v>-83</v>
      </c>
      <c r="BH49" s="470"/>
      <c r="BI49" s="471"/>
      <c r="BJ49" s="471"/>
      <c r="BK49" s="470"/>
      <c r="BL49" s="471"/>
      <c r="BM49" s="472"/>
      <c r="BN49" s="470"/>
      <c r="BO49" s="471"/>
      <c r="BP49" s="471"/>
      <c r="BQ49" s="470"/>
      <c r="BR49" s="471"/>
      <c r="BS49" s="472"/>
      <c r="BT49" s="470"/>
      <c r="BU49" s="471"/>
      <c r="BV49" s="471"/>
      <c r="BW49" s="470"/>
      <c r="BX49" s="471"/>
      <c r="BY49" s="472"/>
      <c r="BZ49" s="470"/>
      <c r="CA49" s="471"/>
      <c r="CB49" s="471"/>
      <c r="CC49" s="470"/>
      <c r="CD49" s="471"/>
      <c r="CE49" s="472"/>
      <c r="CF49" s="470"/>
      <c r="CG49" s="471"/>
      <c r="CH49" s="471"/>
      <c r="CI49" s="470"/>
      <c r="CJ49" s="471"/>
      <c r="CK49" s="472"/>
    </row>
    <row r="50" spans="5:89" x14ac:dyDescent="0.2">
      <c r="E50" s="25"/>
      <c r="F50" s="315">
        <v>6</v>
      </c>
      <c r="G50" s="31">
        <v>15</v>
      </c>
      <c r="H50" s="47">
        <v>-87</v>
      </c>
      <c r="I50" s="6">
        <v>24</v>
      </c>
      <c r="J50" s="31">
        <v>17</v>
      </c>
      <c r="K50" s="105">
        <v>-82</v>
      </c>
      <c r="L50" s="470"/>
      <c r="M50" s="471"/>
      <c r="N50" s="471"/>
      <c r="O50" s="470"/>
      <c r="P50" s="471"/>
      <c r="Q50" s="684"/>
      <c r="R50" s="32">
        <v>12</v>
      </c>
      <c r="S50" s="31">
        <v>18</v>
      </c>
      <c r="T50" s="47">
        <v>-84</v>
      </c>
      <c r="U50" s="30">
        <v>24</v>
      </c>
      <c r="V50" s="24">
        <v>18</v>
      </c>
      <c r="W50" s="46">
        <v>-91</v>
      </c>
      <c r="X50" s="470"/>
      <c r="Y50" s="471"/>
      <c r="Z50" s="471"/>
      <c r="AA50" s="470"/>
      <c r="AB50" s="471"/>
      <c r="AC50" s="472"/>
      <c r="AD50" s="470"/>
      <c r="AE50" s="471"/>
      <c r="AF50" s="471"/>
      <c r="AG50" s="470"/>
      <c r="AH50" s="471"/>
      <c r="AI50" s="472"/>
      <c r="AJ50" s="470"/>
      <c r="AK50" s="471"/>
      <c r="AL50" s="471"/>
      <c r="AM50" s="470"/>
      <c r="AN50" s="471"/>
      <c r="AO50" s="472"/>
      <c r="AP50" s="470"/>
      <c r="AQ50" s="471"/>
      <c r="AR50" s="471"/>
      <c r="AS50" s="470"/>
      <c r="AT50" s="471"/>
      <c r="AU50" s="472"/>
      <c r="AV50" s="470"/>
      <c r="AW50" s="471"/>
      <c r="AX50" s="471"/>
      <c r="AY50" s="470"/>
      <c r="AZ50" s="471"/>
      <c r="BA50" s="472"/>
      <c r="BB50" s="30">
        <v>12</v>
      </c>
      <c r="BC50" s="31">
        <v>18</v>
      </c>
      <c r="BD50" s="47">
        <v>-84</v>
      </c>
      <c r="BE50" s="30">
        <v>24</v>
      </c>
      <c r="BF50" s="24">
        <v>18</v>
      </c>
      <c r="BG50" s="46">
        <v>-91</v>
      </c>
      <c r="BH50" s="470"/>
      <c r="BI50" s="471"/>
      <c r="BJ50" s="471"/>
      <c r="BK50" s="470"/>
      <c r="BL50" s="471"/>
      <c r="BM50" s="472"/>
      <c r="BN50" s="470"/>
      <c r="BO50" s="471"/>
      <c r="BP50" s="471"/>
      <c r="BQ50" s="470"/>
      <c r="BR50" s="471"/>
      <c r="BS50" s="472"/>
      <c r="BT50" s="470"/>
      <c r="BU50" s="471"/>
      <c r="BV50" s="471"/>
      <c r="BW50" s="470"/>
      <c r="BX50" s="471"/>
      <c r="BY50" s="472"/>
      <c r="BZ50" s="470"/>
      <c r="CA50" s="471"/>
      <c r="CB50" s="471"/>
      <c r="CC50" s="470"/>
      <c r="CD50" s="471"/>
      <c r="CE50" s="472"/>
      <c r="CF50" s="470"/>
      <c r="CG50" s="471"/>
      <c r="CH50" s="471"/>
      <c r="CI50" s="470"/>
      <c r="CJ50" s="471"/>
      <c r="CK50" s="472"/>
    </row>
    <row r="51" spans="5:89" x14ac:dyDescent="0.2">
      <c r="E51" s="25"/>
      <c r="F51" s="315">
        <v>9</v>
      </c>
      <c r="G51" s="31">
        <v>15</v>
      </c>
      <c r="H51" s="47">
        <v>-86</v>
      </c>
      <c r="I51" s="6">
        <v>36</v>
      </c>
      <c r="J51" s="31">
        <v>17</v>
      </c>
      <c r="K51" s="105">
        <v>-81</v>
      </c>
      <c r="L51" s="470"/>
      <c r="M51" s="471"/>
      <c r="N51" s="471"/>
      <c r="O51" s="470"/>
      <c r="P51" s="471"/>
      <c r="Q51" s="684"/>
      <c r="R51" s="32">
        <v>18</v>
      </c>
      <c r="S51" s="31">
        <v>18</v>
      </c>
      <c r="T51" s="47">
        <v>-83</v>
      </c>
      <c r="U51" s="30">
        <v>36</v>
      </c>
      <c r="V51" s="24">
        <v>18</v>
      </c>
      <c r="W51" s="46">
        <v>-80</v>
      </c>
      <c r="X51" s="470"/>
      <c r="Y51" s="471"/>
      <c r="Z51" s="471"/>
      <c r="AA51" s="470"/>
      <c r="AB51" s="471"/>
      <c r="AC51" s="472"/>
      <c r="AD51" s="470"/>
      <c r="AE51" s="471"/>
      <c r="AF51" s="471"/>
      <c r="AG51" s="470"/>
      <c r="AH51" s="471"/>
      <c r="AI51" s="472"/>
      <c r="AJ51" s="470"/>
      <c r="AK51" s="471"/>
      <c r="AL51" s="471"/>
      <c r="AM51" s="470"/>
      <c r="AN51" s="471"/>
      <c r="AO51" s="472"/>
      <c r="AP51" s="470"/>
      <c r="AQ51" s="471"/>
      <c r="AR51" s="471"/>
      <c r="AS51" s="470"/>
      <c r="AT51" s="471"/>
      <c r="AU51" s="472"/>
      <c r="AV51" s="470"/>
      <c r="AW51" s="471"/>
      <c r="AX51" s="471"/>
      <c r="AY51" s="470"/>
      <c r="AZ51" s="471"/>
      <c r="BA51" s="472"/>
      <c r="BB51" s="30">
        <v>18</v>
      </c>
      <c r="BC51" s="31">
        <v>18</v>
      </c>
      <c r="BD51" s="47">
        <v>-83</v>
      </c>
      <c r="BE51" s="30">
        <v>36</v>
      </c>
      <c r="BF51" s="24">
        <v>18</v>
      </c>
      <c r="BG51" s="46">
        <v>-80</v>
      </c>
      <c r="BH51" s="470"/>
      <c r="BI51" s="471"/>
      <c r="BJ51" s="471"/>
      <c r="BK51" s="470"/>
      <c r="BL51" s="471"/>
      <c r="BM51" s="472"/>
      <c r="BN51" s="470"/>
      <c r="BO51" s="471"/>
      <c r="BP51" s="471"/>
      <c r="BQ51" s="470"/>
      <c r="BR51" s="471"/>
      <c r="BS51" s="472"/>
      <c r="BT51" s="470"/>
      <c r="BU51" s="471"/>
      <c r="BV51" s="471"/>
      <c r="BW51" s="470"/>
      <c r="BX51" s="471"/>
      <c r="BY51" s="472"/>
      <c r="BZ51" s="470"/>
      <c r="CA51" s="471"/>
      <c r="CB51" s="471"/>
      <c r="CC51" s="470"/>
      <c r="CD51" s="471"/>
      <c r="CE51" s="472"/>
      <c r="CF51" s="470"/>
      <c r="CG51" s="471"/>
      <c r="CH51" s="471"/>
      <c r="CI51" s="470"/>
      <c r="CJ51" s="471"/>
      <c r="CK51" s="472"/>
    </row>
    <row r="52" spans="5:89" x14ac:dyDescent="0.2">
      <c r="E52" s="25"/>
      <c r="F52" s="315">
        <v>11</v>
      </c>
      <c r="G52" s="31">
        <v>15</v>
      </c>
      <c r="H52" s="47">
        <v>-87</v>
      </c>
      <c r="I52" s="6">
        <v>48</v>
      </c>
      <c r="J52" s="31">
        <v>17</v>
      </c>
      <c r="K52" s="105">
        <v>-78</v>
      </c>
      <c r="L52" s="470"/>
      <c r="M52" s="471"/>
      <c r="N52" s="471"/>
      <c r="O52" s="470"/>
      <c r="P52" s="471"/>
      <c r="Q52" s="684"/>
      <c r="R52" s="32">
        <v>24</v>
      </c>
      <c r="S52" s="31">
        <v>18</v>
      </c>
      <c r="T52" s="47">
        <v>-80</v>
      </c>
      <c r="U52" s="30">
        <v>48</v>
      </c>
      <c r="V52" s="24">
        <v>18</v>
      </c>
      <c r="W52" s="46">
        <v>-77</v>
      </c>
      <c r="X52" s="470"/>
      <c r="Y52" s="471"/>
      <c r="Z52" s="471"/>
      <c r="AA52" s="470"/>
      <c r="AB52" s="471"/>
      <c r="AC52" s="472"/>
      <c r="AD52" s="470"/>
      <c r="AE52" s="471"/>
      <c r="AF52" s="471"/>
      <c r="AG52" s="470"/>
      <c r="AH52" s="471"/>
      <c r="AI52" s="472"/>
      <c r="AJ52" s="470"/>
      <c r="AK52" s="471"/>
      <c r="AL52" s="471"/>
      <c r="AM52" s="470"/>
      <c r="AN52" s="471"/>
      <c r="AO52" s="472"/>
      <c r="AP52" s="470"/>
      <c r="AQ52" s="471"/>
      <c r="AR52" s="471"/>
      <c r="AS52" s="470"/>
      <c r="AT52" s="471"/>
      <c r="AU52" s="472"/>
      <c r="AV52" s="470"/>
      <c r="AW52" s="471"/>
      <c r="AX52" s="471"/>
      <c r="AY52" s="470"/>
      <c r="AZ52" s="471"/>
      <c r="BA52" s="472"/>
      <c r="BB52" s="30">
        <v>24</v>
      </c>
      <c r="BC52" s="31">
        <v>18</v>
      </c>
      <c r="BD52" s="47">
        <v>-80</v>
      </c>
      <c r="BE52" s="30">
        <v>48</v>
      </c>
      <c r="BF52" s="24">
        <v>18</v>
      </c>
      <c r="BG52" s="46">
        <v>-77</v>
      </c>
      <c r="BH52" s="470"/>
      <c r="BI52" s="471"/>
      <c r="BJ52" s="471"/>
      <c r="BK52" s="470"/>
      <c r="BL52" s="471"/>
      <c r="BM52" s="472"/>
      <c r="BN52" s="470"/>
      <c r="BO52" s="471"/>
      <c r="BP52" s="471"/>
      <c r="BQ52" s="470"/>
      <c r="BR52" s="471"/>
      <c r="BS52" s="472"/>
      <c r="BT52" s="470"/>
      <c r="BU52" s="471"/>
      <c r="BV52" s="471"/>
      <c r="BW52" s="470"/>
      <c r="BX52" s="471"/>
      <c r="BY52" s="472"/>
      <c r="BZ52" s="470"/>
      <c r="CA52" s="471"/>
      <c r="CB52" s="471"/>
      <c r="CC52" s="470"/>
      <c r="CD52" s="471"/>
      <c r="CE52" s="472"/>
      <c r="CF52" s="470"/>
      <c r="CG52" s="471"/>
      <c r="CH52" s="471"/>
      <c r="CI52" s="470"/>
      <c r="CJ52" s="471"/>
      <c r="CK52" s="472"/>
    </row>
    <row r="53" spans="5:89" x14ac:dyDescent="0.2">
      <c r="E53" s="25"/>
      <c r="F53" s="315">
        <v>12</v>
      </c>
      <c r="G53" s="31">
        <v>15</v>
      </c>
      <c r="H53" s="47">
        <v>-85</v>
      </c>
      <c r="I53" s="6">
        <v>72</v>
      </c>
      <c r="J53" s="31">
        <v>15.5</v>
      </c>
      <c r="K53" s="105">
        <v>-75</v>
      </c>
      <c r="L53" s="470"/>
      <c r="M53" s="471"/>
      <c r="N53" s="471"/>
      <c r="O53" s="470"/>
      <c r="P53" s="471"/>
      <c r="Q53" s="684"/>
      <c r="R53" s="32">
        <v>36</v>
      </c>
      <c r="S53" s="31">
        <v>16</v>
      </c>
      <c r="T53" s="47">
        <v>-77</v>
      </c>
      <c r="U53" s="30">
        <v>72</v>
      </c>
      <c r="V53" s="24">
        <v>16</v>
      </c>
      <c r="W53" s="46">
        <v>-74</v>
      </c>
      <c r="X53" s="470"/>
      <c r="Y53" s="471"/>
      <c r="Z53" s="471"/>
      <c r="AA53" s="470"/>
      <c r="AB53" s="471"/>
      <c r="AC53" s="472"/>
      <c r="AD53" s="470"/>
      <c r="AE53" s="471"/>
      <c r="AF53" s="471"/>
      <c r="AG53" s="470"/>
      <c r="AH53" s="471"/>
      <c r="AI53" s="472"/>
      <c r="AJ53" s="470"/>
      <c r="AK53" s="471"/>
      <c r="AL53" s="471"/>
      <c r="AM53" s="470"/>
      <c r="AN53" s="471"/>
      <c r="AO53" s="472"/>
      <c r="AP53" s="470"/>
      <c r="AQ53" s="471"/>
      <c r="AR53" s="471"/>
      <c r="AS53" s="470"/>
      <c r="AT53" s="471"/>
      <c r="AU53" s="472"/>
      <c r="AV53" s="470"/>
      <c r="AW53" s="471"/>
      <c r="AX53" s="471"/>
      <c r="AY53" s="470"/>
      <c r="AZ53" s="471"/>
      <c r="BA53" s="472"/>
      <c r="BB53" s="30">
        <v>36</v>
      </c>
      <c r="BC53" s="31">
        <v>16</v>
      </c>
      <c r="BD53" s="47">
        <v>-77</v>
      </c>
      <c r="BE53" s="30">
        <v>72</v>
      </c>
      <c r="BF53" s="24">
        <v>16</v>
      </c>
      <c r="BG53" s="46">
        <v>-74</v>
      </c>
      <c r="BH53" s="470"/>
      <c r="BI53" s="471"/>
      <c r="BJ53" s="471"/>
      <c r="BK53" s="470"/>
      <c r="BL53" s="471"/>
      <c r="BM53" s="472"/>
      <c r="BN53" s="470"/>
      <c r="BO53" s="471"/>
      <c r="BP53" s="471"/>
      <c r="BQ53" s="470"/>
      <c r="BR53" s="471"/>
      <c r="BS53" s="472"/>
      <c r="BT53" s="470"/>
      <c r="BU53" s="471"/>
      <c r="BV53" s="471"/>
      <c r="BW53" s="470"/>
      <c r="BX53" s="471"/>
      <c r="BY53" s="472"/>
      <c r="BZ53" s="470"/>
      <c r="CA53" s="471"/>
      <c r="CB53" s="471"/>
      <c r="CC53" s="470"/>
      <c r="CD53" s="471"/>
      <c r="CE53" s="472"/>
      <c r="CF53" s="470"/>
      <c r="CG53" s="471"/>
      <c r="CH53" s="471"/>
      <c r="CI53" s="470"/>
      <c r="CJ53" s="471"/>
      <c r="CK53" s="472"/>
    </row>
    <row r="54" spans="5:89" x14ac:dyDescent="0.2">
      <c r="E54" s="25"/>
      <c r="F54" s="315">
        <v>18</v>
      </c>
      <c r="G54" s="31">
        <v>15</v>
      </c>
      <c r="H54" s="47">
        <v>-84</v>
      </c>
      <c r="I54" s="6">
        <v>96</v>
      </c>
      <c r="J54" s="31">
        <v>13</v>
      </c>
      <c r="K54" s="105">
        <v>-71</v>
      </c>
      <c r="L54" s="470"/>
      <c r="M54" s="471"/>
      <c r="N54" s="471"/>
      <c r="O54" s="470"/>
      <c r="P54" s="471"/>
      <c r="Q54" s="684"/>
      <c r="R54" s="32">
        <v>48</v>
      </c>
      <c r="S54" s="31">
        <v>14</v>
      </c>
      <c r="T54" s="47">
        <v>-72</v>
      </c>
      <c r="U54" s="30">
        <v>96</v>
      </c>
      <c r="V54" s="24">
        <v>14</v>
      </c>
      <c r="W54" s="46">
        <v>-69</v>
      </c>
      <c r="X54" s="470"/>
      <c r="Y54" s="471"/>
      <c r="Z54" s="471"/>
      <c r="AA54" s="470"/>
      <c r="AB54" s="471"/>
      <c r="AC54" s="472"/>
      <c r="AD54" s="470"/>
      <c r="AE54" s="471"/>
      <c r="AF54" s="471"/>
      <c r="AG54" s="470"/>
      <c r="AH54" s="471"/>
      <c r="AI54" s="472"/>
      <c r="AJ54" s="470"/>
      <c r="AK54" s="471"/>
      <c r="AL54" s="471"/>
      <c r="AM54" s="470"/>
      <c r="AN54" s="471"/>
      <c r="AO54" s="472"/>
      <c r="AP54" s="470"/>
      <c r="AQ54" s="471"/>
      <c r="AR54" s="471"/>
      <c r="AS54" s="470"/>
      <c r="AT54" s="471"/>
      <c r="AU54" s="472"/>
      <c r="AV54" s="470"/>
      <c r="AW54" s="471"/>
      <c r="AX54" s="471"/>
      <c r="AY54" s="470"/>
      <c r="AZ54" s="471"/>
      <c r="BA54" s="472"/>
      <c r="BB54" s="30">
        <v>48</v>
      </c>
      <c r="BC54" s="31">
        <v>14</v>
      </c>
      <c r="BD54" s="47">
        <v>-72</v>
      </c>
      <c r="BE54" s="30">
        <v>96</v>
      </c>
      <c r="BF54" s="24">
        <v>14</v>
      </c>
      <c r="BG54" s="46">
        <v>-69</v>
      </c>
      <c r="BH54" s="470"/>
      <c r="BI54" s="471"/>
      <c r="BJ54" s="471"/>
      <c r="BK54" s="470"/>
      <c r="BL54" s="471"/>
      <c r="BM54" s="472"/>
      <c r="BN54" s="470"/>
      <c r="BO54" s="471"/>
      <c r="BP54" s="471"/>
      <c r="BQ54" s="470"/>
      <c r="BR54" s="471"/>
      <c r="BS54" s="472"/>
      <c r="BT54" s="470"/>
      <c r="BU54" s="471"/>
      <c r="BV54" s="471"/>
      <c r="BW54" s="470"/>
      <c r="BX54" s="471"/>
      <c r="BY54" s="472"/>
      <c r="BZ54" s="470"/>
      <c r="CA54" s="471"/>
      <c r="CB54" s="471"/>
      <c r="CC54" s="470"/>
      <c r="CD54" s="471"/>
      <c r="CE54" s="472"/>
      <c r="CF54" s="470"/>
      <c r="CG54" s="471"/>
      <c r="CH54" s="471"/>
      <c r="CI54" s="470"/>
      <c r="CJ54" s="471"/>
      <c r="CK54" s="472"/>
    </row>
    <row r="55" spans="5:89" x14ac:dyDescent="0.2">
      <c r="E55" s="25"/>
      <c r="F55" s="315">
        <v>24</v>
      </c>
      <c r="G55" s="31">
        <v>15</v>
      </c>
      <c r="H55" s="47">
        <v>-81</v>
      </c>
      <c r="I55" s="6">
        <v>108</v>
      </c>
      <c r="J55" s="31">
        <v>11</v>
      </c>
      <c r="K55" s="105">
        <v>-67</v>
      </c>
      <c r="L55" s="470"/>
      <c r="M55" s="471"/>
      <c r="N55" s="471"/>
      <c r="O55" s="470"/>
      <c r="P55" s="471"/>
      <c r="Q55" s="684"/>
      <c r="R55" s="32">
        <v>54</v>
      </c>
      <c r="S55" s="31">
        <v>12</v>
      </c>
      <c r="T55" s="31">
        <v>-70</v>
      </c>
      <c r="U55" s="30">
        <v>108</v>
      </c>
      <c r="V55" s="24">
        <v>12</v>
      </c>
      <c r="W55" s="46">
        <v>-64</v>
      </c>
      <c r="X55" s="470"/>
      <c r="Y55" s="471"/>
      <c r="Z55" s="471"/>
      <c r="AA55" s="470"/>
      <c r="AB55" s="471"/>
      <c r="AC55" s="472"/>
      <c r="AD55" s="470"/>
      <c r="AE55" s="471"/>
      <c r="AF55" s="471"/>
      <c r="AG55" s="470"/>
      <c r="AH55" s="471"/>
      <c r="AI55" s="472"/>
      <c r="AJ55" s="470"/>
      <c r="AK55" s="471"/>
      <c r="AL55" s="471"/>
      <c r="AM55" s="470"/>
      <c r="AN55" s="471"/>
      <c r="AO55" s="472"/>
      <c r="AP55" s="470"/>
      <c r="AQ55" s="471"/>
      <c r="AR55" s="471"/>
      <c r="AS55" s="470"/>
      <c r="AT55" s="471"/>
      <c r="AU55" s="472"/>
      <c r="AV55" s="470"/>
      <c r="AW55" s="471"/>
      <c r="AX55" s="471"/>
      <c r="AY55" s="470"/>
      <c r="AZ55" s="471"/>
      <c r="BA55" s="472"/>
      <c r="BB55" s="30">
        <v>54</v>
      </c>
      <c r="BC55" s="31">
        <v>12</v>
      </c>
      <c r="BD55" s="31">
        <v>-70</v>
      </c>
      <c r="BE55" s="30">
        <v>108</v>
      </c>
      <c r="BF55" s="24">
        <v>12</v>
      </c>
      <c r="BG55" s="46">
        <v>-64</v>
      </c>
      <c r="BH55" s="470"/>
      <c r="BI55" s="471"/>
      <c r="BJ55" s="471"/>
      <c r="BK55" s="470"/>
      <c r="BL55" s="471"/>
      <c r="BM55" s="472"/>
      <c r="BN55" s="470"/>
      <c r="BO55" s="471"/>
      <c r="BP55" s="471"/>
      <c r="BQ55" s="470"/>
      <c r="BR55" s="471"/>
      <c r="BS55" s="472"/>
      <c r="BT55" s="470"/>
      <c r="BU55" s="471"/>
      <c r="BV55" s="471"/>
      <c r="BW55" s="470"/>
      <c r="BX55" s="471"/>
      <c r="BY55" s="472"/>
      <c r="BZ55" s="470"/>
      <c r="CA55" s="471"/>
      <c r="CB55" s="471"/>
      <c r="CC55" s="470"/>
      <c r="CD55" s="471"/>
      <c r="CE55" s="472"/>
      <c r="CF55" s="470"/>
      <c r="CG55" s="471"/>
      <c r="CH55" s="471"/>
      <c r="CI55" s="470"/>
      <c r="CJ55" s="471"/>
      <c r="CK55" s="472"/>
    </row>
    <row r="56" spans="5:89" x14ac:dyDescent="0.2">
      <c r="E56" s="25"/>
      <c r="F56" s="315">
        <v>36</v>
      </c>
      <c r="G56" s="31">
        <v>15</v>
      </c>
      <c r="H56" s="47">
        <v>-78</v>
      </c>
      <c r="I56" s="6"/>
      <c r="J56" s="2"/>
      <c r="K56" s="10"/>
      <c r="L56" s="470"/>
      <c r="M56" s="471"/>
      <c r="N56" s="471"/>
      <c r="O56" s="470"/>
      <c r="P56" s="471"/>
      <c r="Q56" s="684"/>
      <c r="R56" s="2"/>
      <c r="S56" s="2"/>
      <c r="T56" s="2"/>
      <c r="U56" s="39"/>
      <c r="V56" s="2"/>
      <c r="W56" s="10"/>
      <c r="X56" s="470"/>
      <c r="Y56" s="471"/>
      <c r="Z56" s="471"/>
      <c r="AA56" s="470"/>
      <c r="AB56" s="471"/>
      <c r="AC56" s="472"/>
      <c r="AD56" s="470"/>
      <c r="AE56" s="471"/>
      <c r="AF56" s="471"/>
      <c r="AG56" s="470"/>
      <c r="AH56" s="471"/>
      <c r="AI56" s="472"/>
      <c r="AJ56" s="470"/>
      <c r="AK56" s="471"/>
      <c r="AL56" s="471"/>
      <c r="AM56" s="470"/>
      <c r="AN56" s="471"/>
      <c r="AO56" s="472"/>
      <c r="AP56" s="470"/>
      <c r="AQ56" s="471"/>
      <c r="AR56" s="471"/>
      <c r="AS56" s="470"/>
      <c r="AT56" s="471"/>
      <c r="AU56" s="472"/>
      <c r="AV56" s="470"/>
      <c r="AW56" s="471"/>
      <c r="AX56" s="471"/>
      <c r="AY56" s="470"/>
      <c r="AZ56" s="471"/>
      <c r="BA56" s="472"/>
      <c r="BB56" s="6"/>
      <c r="BC56" s="2"/>
      <c r="BD56" s="2"/>
      <c r="BE56" s="39"/>
      <c r="BF56" s="2"/>
      <c r="BG56" s="10"/>
      <c r="BH56" s="470"/>
      <c r="BI56" s="471"/>
      <c r="BJ56" s="471"/>
      <c r="BK56" s="470"/>
      <c r="BL56" s="471"/>
      <c r="BM56" s="472"/>
      <c r="BN56" s="470"/>
      <c r="BO56" s="471"/>
      <c r="BP56" s="471"/>
      <c r="BQ56" s="470"/>
      <c r="BR56" s="471"/>
      <c r="BS56" s="472"/>
      <c r="BT56" s="470"/>
      <c r="BU56" s="471"/>
      <c r="BV56" s="471"/>
      <c r="BW56" s="470"/>
      <c r="BX56" s="471"/>
      <c r="BY56" s="472"/>
      <c r="BZ56" s="470"/>
      <c r="CA56" s="471"/>
      <c r="CB56" s="471"/>
      <c r="CC56" s="470"/>
      <c r="CD56" s="471"/>
      <c r="CE56" s="472"/>
      <c r="CF56" s="470"/>
      <c r="CG56" s="471"/>
      <c r="CH56" s="471"/>
      <c r="CI56" s="470"/>
      <c r="CJ56" s="471"/>
      <c r="CK56" s="472"/>
    </row>
    <row r="57" spans="5:89" x14ac:dyDescent="0.2">
      <c r="E57" s="25"/>
      <c r="F57" s="315">
        <v>48</v>
      </c>
      <c r="G57" s="31">
        <v>13</v>
      </c>
      <c r="H57" s="47">
        <v>-74</v>
      </c>
      <c r="I57" s="6"/>
      <c r="J57" s="2"/>
      <c r="K57" s="10"/>
      <c r="L57" s="470"/>
      <c r="M57" s="471"/>
      <c r="N57" s="471"/>
      <c r="O57" s="470"/>
      <c r="P57" s="471"/>
      <c r="Q57" s="684"/>
      <c r="R57" s="2"/>
      <c r="S57" s="31"/>
      <c r="T57" s="31"/>
      <c r="U57" s="30"/>
      <c r="V57" s="2"/>
      <c r="W57" s="10"/>
      <c r="X57" s="470"/>
      <c r="Y57" s="471"/>
      <c r="Z57" s="471"/>
      <c r="AA57" s="470"/>
      <c r="AB57" s="471"/>
      <c r="AC57" s="472"/>
      <c r="AD57" s="470"/>
      <c r="AE57" s="471"/>
      <c r="AF57" s="471"/>
      <c r="AG57" s="470"/>
      <c r="AH57" s="471"/>
      <c r="AI57" s="472"/>
      <c r="AJ57" s="470"/>
      <c r="AK57" s="471"/>
      <c r="AL57" s="471"/>
      <c r="AM57" s="470"/>
      <c r="AN57" s="471"/>
      <c r="AO57" s="472"/>
      <c r="AP57" s="470"/>
      <c r="AQ57" s="471"/>
      <c r="AR57" s="471"/>
      <c r="AS57" s="470"/>
      <c r="AT57" s="471"/>
      <c r="AU57" s="472"/>
      <c r="AV57" s="470"/>
      <c r="AW57" s="471"/>
      <c r="AX57" s="471"/>
      <c r="AY57" s="470"/>
      <c r="AZ57" s="471"/>
      <c r="BA57" s="472"/>
      <c r="BB57" s="6"/>
      <c r="BC57" s="31"/>
      <c r="BD57" s="31"/>
      <c r="BE57" s="30"/>
      <c r="BF57" s="2"/>
      <c r="BG57" s="10"/>
      <c r="BH57" s="470"/>
      <c r="BI57" s="471"/>
      <c r="BJ57" s="471"/>
      <c r="BK57" s="470"/>
      <c r="BL57" s="471"/>
      <c r="BM57" s="472"/>
      <c r="BN57" s="470"/>
      <c r="BO57" s="471"/>
      <c r="BP57" s="471"/>
      <c r="BQ57" s="470"/>
      <c r="BR57" s="471"/>
      <c r="BS57" s="472"/>
      <c r="BT57" s="470"/>
      <c r="BU57" s="471"/>
      <c r="BV57" s="471"/>
      <c r="BW57" s="470"/>
      <c r="BX57" s="471"/>
      <c r="BY57" s="472"/>
      <c r="BZ57" s="470"/>
      <c r="CA57" s="471"/>
      <c r="CB57" s="471"/>
      <c r="CC57" s="470"/>
      <c r="CD57" s="471"/>
      <c r="CE57" s="472"/>
      <c r="CF57" s="470"/>
      <c r="CG57" s="471"/>
      <c r="CH57" s="471"/>
      <c r="CI57" s="470"/>
      <c r="CJ57" s="471"/>
      <c r="CK57" s="472"/>
    </row>
    <row r="58" spans="5:89" ht="10.5" thickBot="1" x14ac:dyDescent="0.25">
      <c r="E58" s="25"/>
      <c r="F58" s="316">
        <v>54</v>
      </c>
      <c r="G58" s="303">
        <v>11.5</v>
      </c>
      <c r="H58" s="689">
        <v>-70</v>
      </c>
      <c r="I58" s="300"/>
      <c r="J58" s="55"/>
      <c r="K58" s="309"/>
      <c r="L58" s="473"/>
      <c r="M58" s="474"/>
      <c r="N58" s="474"/>
      <c r="O58" s="473"/>
      <c r="P58" s="474"/>
      <c r="Q58" s="685"/>
      <c r="R58" s="8"/>
      <c r="S58" s="41"/>
      <c r="T58" s="41"/>
      <c r="U58" s="33"/>
      <c r="V58" s="8"/>
      <c r="W58" s="11"/>
      <c r="X58" s="473"/>
      <c r="Y58" s="474"/>
      <c r="Z58" s="474"/>
      <c r="AA58" s="473"/>
      <c r="AB58" s="474"/>
      <c r="AC58" s="475"/>
      <c r="AD58" s="473"/>
      <c r="AE58" s="474"/>
      <c r="AF58" s="474"/>
      <c r="AG58" s="473"/>
      <c r="AH58" s="474"/>
      <c r="AI58" s="475"/>
      <c r="AJ58" s="473"/>
      <c r="AK58" s="474"/>
      <c r="AL58" s="474"/>
      <c r="AM58" s="473"/>
      <c r="AN58" s="474"/>
      <c r="AO58" s="475"/>
      <c r="AP58" s="473"/>
      <c r="AQ58" s="474"/>
      <c r="AR58" s="474"/>
      <c r="AS58" s="473"/>
      <c r="AT58" s="474"/>
      <c r="AU58" s="475"/>
      <c r="AV58" s="473"/>
      <c r="AW58" s="474"/>
      <c r="AX58" s="474"/>
      <c r="AY58" s="473"/>
      <c r="AZ58" s="474"/>
      <c r="BA58" s="475"/>
      <c r="BB58" s="7"/>
      <c r="BC58" s="41"/>
      <c r="BD58" s="41"/>
      <c r="BE58" s="33"/>
      <c r="BF58" s="8"/>
      <c r="BG58" s="11"/>
      <c r="BH58" s="473"/>
      <c r="BI58" s="474"/>
      <c r="BJ58" s="474"/>
      <c r="BK58" s="473"/>
      <c r="BL58" s="474"/>
      <c r="BM58" s="475"/>
      <c r="BN58" s="473"/>
      <c r="BO58" s="474"/>
      <c r="BP58" s="474"/>
      <c r="BQ58" s="473"/>
      <c r="BR58" s="474"/>
      <c r="BS58" s="475"/>
      <c r="BT58" s="473"/>
      <c r="BU58" s="474"/>
      <c r="BV58" s="474"/>
      <c r="BW58" s="473"/>
      <c r="BX58" s="474"/>
      <c r="BY58" s="475"/>
      <c r="BZ58" s="473"/>
      <c r="CA58" s="474"/>
      <c r="CB58" s="474"/>
      <c r="CC58" s="473"/>
      <c r="CD58" s="474"/>
      <c r="CE58" s="475"/>
      <c r="CF58" s="473"/>
      <c r="CG58" s="474"/>
      <c r="CH58" s="474"/>
      <c r="CI58" s="473"/>
      <c r="CJ58" s="474"/>
      <c r="CK58" s="475"/>
    </row>
    <row r="59" spans="5:89" x14ac:dyDescent="0.2">
      <c r="E59" s="25"/>
      <c r="F59" s="31"/>
      <c r="G59" s="31"/>
      <c r="H59" s="31"/>
      <c r="I59" s="31"/>
      <c r="J59" s="31"/>
      <c r="K59" s="31"/>
      <c r="L59" s="31"/>
      <c r="M59" s="31"/>
      <c r="N59" s="31"/>
      <c r="O59" s="31"/>
      <c r="P59" s="31"/>
      <c r="Q59" s="31"/>
      <c r="R59" s="2"/>
      <c r="S59" s="31"/>
      <c r="T59" s="31"/>
      <c r="U59" s="32"/>
      <c r="V59" s="2"/>
      <c r="W59" s="2"/>
      <c r="X59" s="2"/>
      <c r="Y59" s="2"/>
      <c r="Z59" s="2"/>
      <c r="AA59" s="2"/>
      <c r="AB59" s="2"/>
      <c r="AC59" s="2"/>
      <c r="AJ59" s="2"/>
      <c r="AK59" s="2"/>
      <c r="AL59" s="2"/>
      <c r="AM59" s="2"/>
      <c r="AN59" s="2"/>
      <c r="AO59" s="2"/>
      <c r="AV59" s="2"/>
      <c r="AW59" s="2"/>
      <c r="AX59" s="2"/>
      <c r="AY59" s="2"/>
      <c r="AZ59" s="2"/>
      <c r="BA59" s="2"/>
      <c r="BH59" s="2"/>
      <c r="BI59" s="2"/>
      <c r="BJ59" s="2"/>
      <c r="BK59" s="2"/>
      <c r="BL59" s="2"/>
      <c r="BM59" s="2"/>
      <c r="BT59" s="2"/>
      <c r="BU59" s="2"/>
      <c r="BV59" s="2"/>
      <c r="BW59" s="2"/>
      <c r="BX59" s="2"/>
      <c r="BY59" s="2"/>
    </row>
    <row r="60" spans="5:89" ht="10.5" x14ac:dyDescent="0.25">
      <c r="E60" s="36"/>
      <c r="F60" s="26" t="s">
        <v>0</v>
      </c>
      <c r="G60" s="26"/>
      <c r="H60" s="26"/>
      <c r="I60" s="26"/>
      <c r="J60" s="26"/>
      <c r="K60" s="26"/>
      <c r="L60" s="31"/>
      <c r="M60" s="31"/>
      <c r="N60" s="31"/>
      <c r="O60" s="31"/>
      <c r="P60" s="31"/>
      <c r="Q60" s="31"/>
      <c r="R60" s="26" t="s">
        <v>1</v>
      </c>
      <c r="S60" s="25"/>
      <c r="T60" s="25"/>
      <c r="U60" s="25"/>
      <c r="X60" s="2"/>
      <c r="Y60" s="2"/>
      <c r="Z60" s="2"/>
      <c r="AA60" s="2"/>
      <c r="AB60" s="2"/>
      <c r="AC60" s="2"/>
      <c r="AD60" s="853" t="s">
        <v>410</v>
      </c>
      <c r="AE60" s="852"/>
      <c r="AF60" s="852"/>
      <c r="AG60" s="852"/>
      <c r="AJ60" s="2"/>
      <c r="AK60" s="2"/>
      <c r="AL60" s="2"/>
      <c r="AM60" s="2"/>
      <c r="AN60" s="2"/>
      <c r="AO60" s="2"/>
      <c r="AP60" s="853" t="s">
        <v>411</v>
      </c>
      <c r="AQ60" s="852"/>
      <c r="AR60" s="852"/>
      <c r="AS60" s="852"/>
      <c r="AV60" s="2"/>
      <c r="AW60" s="2"/>
      <c r="AX60" s="2"/>
      <c r="AY60" s="2"/>
      <c r="AZ60" s="2"/>
      <c r="BA60" s="2"/>
      <c r="BB60" s="44" t="s">
        <v>223</v>
      </c>
      <c r="BH60" s="2"/>
      <c r="BI60" s="2"/>
      <c r="BJ60" s="2"/>
      <c r="BK60" s="2"/>
      <c r="BL60" s="2"/>
      <c r="BM60" s="2"/>
      <c r="BN60" s="44" t="s">
        <v>351</v>
      </c>
      <c r="BT60" s="2"/>
      <c r="BU60" s="2"/>
      <c r="BV60" s="2"/>
      <c r="BW60" s="2"/>
      <c r="BX60" s="2"/>
      <c r="BY60" s="2"/>
      <c r="BZ60" s="44" t="s">
        <v>515</v>
      </c>
      <c r="CF60" s="2"/>
      <c r="CG60" s="2"/>
      <c r="CH60" s="2"/>
      <c r="CI60" s="2"/>
      <c r="CJ60" s="2"/>
      <c r="CK60" s="2"/>
    </row>
    <row r="61" spans="5:89" ht="11" thickBot="1" x14ac:dyDescent="0.3">
      <c r="E61" s="36"/>
      <c r="F61" s="26" t="s">
        <v>113</v>
      </c>
      <c r="G61" s="26" t="s">
        <v>108</v>
      </c>
      <c r="H61" s="26" t="s">
        <v>109</v>
      </c>
      <c r="I61" s="26" t="s">
        <v>110</v>
      </c>
      <c r="J61" s="26" t="s">
        <v>111</v>
      </c>
      <c r="K61" s="26" t="s">
        <v>112</v>
      </c>
      <c r="L61" s="31"/>
      <c r="M61" s="31"/>
      <c r="N61" s="31"/>
      <c r="O61" s="31"/>
      <c r="P61" s="31"/>
      <c r="Q61" s="31"/>
      <c r="R61" s="26" t="s">
        <v>113</v>
      </c>
      <c r="S61" s="159" t="s">
        <v>108</v>
      </c>
      <c r="T61" s="159" t="s">
        <v>109</v>
      </c>
      <c r="U61" s="26" t="s">
        <v>110</v>
      </c>
      <c r="V61" s="26" t="s">
        <v>111</v>
      </c>
      <c r="W61" s="26" t="s">
        <v>112</v>
      </c>
      <c r="X61" s="2"/>
      <c r="Y61" s="2"/>
      <c r="Z61" s="2"/>
      <c r="AA61" s="2"/>
      <c r="AB61" s="2"/>
      <c r="AC61" s="2"/>
      <c r="AD61" s="159" t="s">
        <v>88</v>
      </c>
      <c r="AE61" s="159" t="s">
        <v>83</v>
      </c>
      <c r="AF61" s="159" t="s">
        <v>84</v>
      </c>
      <c r="AG61" s="159" t="s">
        <v>87</v>
      </c>
      <c r="AH61" s="159" t="s">
        <v>85</v>
      </c>
      <c r="AI61" s="159" t="s">
        <v>86</v>
      </c>
      <c r="AJ61" s="2"/>
      <c r="AK61" s="2"/>
      <c r="AL61" s="2"/>
      <c r="AM61" s="2"/>
      <c r="AN61" s="2"/>
      <c r="AO61" s="2"/>
      <c r="AP61" s="159" t="s">
        <v>88</v>
      </c>
      <c r="AQ61" s="159" t="s">
        <v>83</v>
      </c>
      <c r="AR61" s="159" t="s">
        <v>84</v>
      </c>
      <c r="AS61" s="159" t="s">
        <v>87</v>
      </c>
      <c r="AT61" s="159" t="s">
        <v>85</v>
      </c>
      <c r="AU61" s="159" t="s">
        <v>86</v>
      </c>
      <c r="AV61" s="2"/>
      <c r="AW61" s="2"/>
      <c r="AX61" s="2"/>
      <c r="AY61" s="2"/>
      <c r="AZ61" s="2"/>
      <c r="BA61" s="2"/>
      <c r="BB61" s="102" t="s">
        <v>88</v>
      </c>
      <c r="BC61" s="102" t="s">
        <v>83</v>
      </c>
      <c r="BD61" s="102" t="s">
        <v>84</v>
      </c>
      <c r="BE61" s="102" t="s">
        <v>87</v>
      </c>
      <c r="BF61" s="102" t="s">
        <v>85</v>
      </c>
      <c r="BG61" s="102" t="s">
        <v>86</v>
      </c>
      <c r="BH61" s="2"/>
      <c r="BI61" s="2"/>
      <c r="BJ61" s="2"/>
      <c r="BK61" s="2"/>
      <c r="BL61" s="2"/>
      <c r="BM61" s="2"/>
      <c r="BN61" s="102" t="s">
        <v>88</v>
      </c>
      <c r="BO61" s="102" t="s">
        <v>83</v>
      </c>
      <c r="BP61" s="102" t="s">
        <v>84</v>
      </c>
      <c r="BQ61" s="102" t="s">
        <v>87</v>
      </c>
      <c r="BR61" s="102" t="s">
        <v>85</v>
      </c>
      <c r="BS61" s="102" t="s">
        <v>86</v>
      </c>
      <c r="BT61" s="2"/>
      <c r="BU61" s="2"/>
      <c r="BV61" s="2"/>
      <c r="BW61" s="2"/>
      <c r="BX61" s="2"/>
      <c r="BY61" s="2"/>
      <c r="BZ61" s="102" t="s">
        <v>88</v>
      </c>
      <c r="CA61" s="102" t="s">
        <v>83</v>
      </c>
      <c r="CB61" s="102" t="s">
        <v>84</v>
      </c>
      <c r="CC61" s="102" t="s">
        <v>87</v>
      </c>
      <c r="CD61" s="102" t="s">
        <v>85</v>
      </c>
      <c r="CE61" s="102" t="s">
        <v>86</v>
      </c>
      <c r="CF61" s="102" t="s">
        <v>512</v>
      </c>
      <c r="CG61" s="102" t="s">
        <v>514</v>
      </c>
      <c r="CH61" s="102" t="s">
        <v>513</v>
      </c>
      <c r="CI61" s="102" t="s">
        <v>516</v>
      </c>
      <c r="CJ61" s="102" t="s">
        <v>517</v>
      </c>
      <c r="CK61" s="102" t="s">
        <v>518</v>
      </c>
    </row>
    <row r="62" spans="5:89" x14ac:dyDescent="0.2">
      <c r="E62" s="34" t="s">
        <v>28</v>
      </c>
      <c r="F62" s="310">
        <v>1</v>
      </c>
      <c r="G62" s="311">
        <v>19</v>
      </c>
      <c r="H62" s="311">
        <v>-94</v>
      </c>
      <c r="I62" s="295">
        <v>12</v>
      </c>
      <c r="J62" s="301">
        <v>19.5</v>
      </c>
      <c r="K62" s="687">
        <v>-84</v>
      </c>
      <c r="L62" s="467"/>
      <c r="M62" s="468"/>
      <c r="N62" s="468"/>
      <c r="O62" s="467"/>
      <c r="P62" s="468"/>
      <c r="Q62" s="683"/>
      <c r="R62" s="29">
        <v>6</v>
      </c>
      <c r="S62" s="38">
        <v>18</v>
      </c>
      <c r="T62" s="29">
        <v>-87</v>
      </c>
      <c r="U62" s="28">
        <v>12</v>
      </c>
      <c r="V62" s="96">
        <v>19</v>
      </c>
      <c r="W62" s="9">
        <v>-84</v>
      </c>
      <c r="X62" s="467"/>
      <c r="Y62" s="468"/>
      <c r="Z62" s="468"/>
      <c r="AA62" s="467"/>
      <c r="AB62" s="468"/>
      <c r="AC62" s="469"/>
      <c r="AD62" s="467"/>
      <c r="AE62" s="468"/>
      <c r="AF62" s="468"/>
      <c r="AG62" s="467"/>
      <c r="AH62" s="468"/>
      <c r="AI62" s="469"/>
      <c r="AJ62" s="467"/>
      <c r="AK62" s="468"/>
      <c r="AL62" s="468"/>
      <c r="AM62" s="467"/>
      <c r="AN62" s="468"/>
      <c r="AO62" s="469"/>
      <c r="AP62" s="467"/>
      <c r="AQ62" s="468"/>
      <c r="AR62" s="468"/>
      <c r="AS62" s="467"/>
      <c r="AT62" s="468"/>
      <c r="AU62" s="469"/>
      <c r="AV62" s="467"/>
      <c r="AW62" s="468"/>
      <c r="AX62" s="468"/>
      <c r="AY62" s="467"/>
      <c r="AZ62" s="468"/>
      <c r="BA62" s="469"/>
      <c r="BB62" s="28">
        <v>6</v>
      </c>
      <c r="BC62" s="38">
        <v>18</v>
      </c>
      <c r="BD62" s="29">
        <v>-87</v>
      </c>
      <c r="BE62" s="28">
        <v>12</v>
      </c>
      <c r="BF62" s="96">
        <v>19</v>
      </c>
      <c r="BG62" s="9">
        <v>-84</v>
      </c>
      <c r="BH62" s="467"/>
      <c r="BI62" s="468"/>
      <c r="BJ62" s="468"/>
      <c r="BK62" s="467"/>
      <c r="BL62" s="468"/>
      <c r="BM62" s="469"/>
      <c r="BN62" s="467"/>
      <c r="BO62" s="468"/>
      <c r="BP62" s="468"/>
      <c r="BQ62" s="467"/>
      <c r="BR62" s="468"/>
      <c r="BS62" s="469"/>
      <c r="BT62" s="467"/>
      <c r="BU62" s="468"/>
      <c r="BV62" s="468"/>
      <c r="BW62" s="467"/>
      <c r="BX62" s="468"/>
      <c r="BY62" s="469"/>
      <c r="BZ62" s="467"/>
      <c r="CA62" s="468"/>
      <c r="CB62" s="468"/>
      <c r="CC62" s="467"/>
      <c r="CD62" s="468"/>
      <c r="CE62" s="469"/>
      <c r="CF62" s="467"/>
      <c r="CG62" s="468"/>
      <c r="CH62" s="468"/>
      <c r="CI62" s="467"/>
      <c r="CJ62" s="468"/>
      <c r="CK62" s="469"/>
    </row>
    <row r="63" spans="5:89" x14ac:dyDescent="0.2">
      <c r="E63" s="233" t="s">
        <v>44</v>
      </c>
      <c r="F63" s="314">
        <v>5.5</v>
      </c>
      <c r="G63" s="32">
        <v>19</v>
      </c>
      <c r="H63" s="32">
        <v>-90</v>
      </c>
      <c r="I63" s="6">
        <v>18</v>
      </c>
      <c r="J63" s="31">
        <v>19.5</v>
      </c>
      <c r="K63" s="99">
        <v>-83</v>
      </c>
      <c r="L63" s="470"/>
      <c r="M63" s="471"/>
      <c r="N63" s="471"/>
      <c r="O63" s="470"/>
      <c r="P63" s="471"/>
      <c r="Q63" s="684"/>
      <c r="R63" s="32">
        <v>9</v>
      </c>
      <c r="S63" s="31">
        <v>18</v>
      </c>
      <c r="T63" s="32">
        <v>-86</v>
      </c>
      <c r="U63" s="30">
        <v>18</v>
      </c>
      <c r="V63" s="24">
        <v>19</v>
      </c>
      <c r="W63" s="10">
        <v>-83</v>
      </c>
      <c r="X63" s="470"/>
      <c r="Y63" s="471"/>
      <c r="Z63" s="471"/>
      <c r="AA63" s="470"/>
      <c r="AB63" s="471"/>
      <c r="AC63" s="472"/>
      <c r="AD63" s="470"/>
      <c r="AE63" s="471"/>
      <c r="AF63" s="471"/>
      <c r="AG63" s="470"/>
      <c r="AH63" s="471"/>
      <c r="AI63" s="472"/>
      <c r="AJ63" s="470"/>
      <c r="AK63" s="471"/>
      <c r="AL63" s="471"/>
      <c r="AM63" s="470"/>
      <c r="AN63" s="471"/>
      <c r="AO63" s="472"/>
      <c r="AP63" s="470"/>
      <c r="AQ63" s="471"/>
      <c r="AR63" s="471"/>
      <c r="AS63" s="470"/>
      <c r="AT63" s="471"/>
      <c r="AU63" s="472"/>
      <c r="AV63" s="470"/>
      <c r="AW63" s="471"/>
      <c r="AX63" s="471"/>
      <c r="AY63" s="470"/>
      <c r="AZ63" s="471"/>
      <c r="BA63" s="472"/>
      <c r="BB63" s="30">
        <v>9</v>
      </c>
      <c r="BC63" s="31">
        <v>18</v>
      </c>
      <c r="BD63" s="32">
        <v>-86</v>
      </c>
      <c r="BE63" s="30">
        <v>18</v>
      </c>
      <c r="BF63" s="24">
        <v>19</v>
      </c>
      <c r="BG63" s="10">
        <v>-83</v>
      </c>
      <c r="BH63" s="470"/>
      <c r="BI63" s="471"/>
      <c r="BJ63" s="471"/>
      <c r="BK63" s="470"/>
      <c r="BL63" s="471"/>
      <c r="BM63" s="472"/>
      <c r="BN63" s="470"/>
      <c r="BO63" s="471"/>
      <c r="BP63" s="471"/>
      <c r="BQ63" s="470"/>
      <c r="BR63" s="471"/>
      <c r="BS63" s="472"/>
      <c r="BT63" s="470"/>
      <c r="BU63" s="471"/>
      <c r="BV63" s="471"/>
      <c r="BW63" s="470"/>
      <c r="BX63" s="471"/>
      <c r="BY63" s="472"/>
      <c r="BZ63" s="470"/>
      <c r="CA63" s="471"/>
      <c r="CB63" s="471"/>
      <c r="CC63" s="470"/>
      <c r="CD63" s="471"/>
      <c r="CE63" s="472"/>
      <c r="CF63" s="470"/>
      <c r="CG63" s="471"/>
      <c r="CH63" s="471"/>
      <c r="CI63" s="470"/>
      <c r="CJ63" s="471"/>
      <c r="CK63" s="472"/>
    </row>
    <row r="64" spans="5:89" x14ac:dyDescent="0.2">
      <c r="E64" s="25"/>
      <c r="F64" s="315">
        <v>6</v>
      </c>
      <c r="G64" s="31">
        <v>19</v>
      </c>
      <c r="H64" s="32">
        <v>-87</v>
      </c>
      <c r="I64" s="6">
        <v>24</v>
      </c>
      <c r="J64" s="31">
        <v>19.5</v>
      </c>
      <c r="K64" s="99">
        <v>-82</v>
      </c>
      <c r="L64" s="470"/>
      <c r="M64" s="471"/>
      <c r="N64" s="471"/>
      <c r="O64" s="470"/>
      <c r="P64" s="471"/>
      <c r="Q64" s="684"/>
      <c r="R64" s="32">
        <v>12</v>
      </c>
      <c r="S64" s="31">
        <v>18</v>
      </c>
      <c r="T64" s="32">
        <v>-84</v>
      </c>
      <c r="U64" s="30">
        <v>24</v>
      </c>
      <c r="V64" s="24">
        <v>19</v>
      </c>
      <c r="W64" s="10">
        <v>-81</v>
      </c>
      <c r="X64" s="470"/>
      <c r="Y64" s="471"/>
      <c r="Z64" s="471"/>
      <c r="AA64" s="470"/>
      <c r="AB64" s="471"/>
      <c r="AC64" s="472"/>
      <c r="AD64" s="470"/>
      <c r="AE64" s="471"/>
      <c r="AF64" s="471"/>
      <c r="AG64" s="470"/>
      <c r="AH64" s="471"/>
      <c r="AI64" s="472"/>
      <c r="AJ64" s="470"/>
      <c r="AK64" s="471"/>
      <c r="AL64" s="471"/>
      <c r="AM64" s="470"/>
      <c r="AN64" s="471"/>
      <c r="AO64" s="472"/>
      <c r="AP64" s="470"/>
      <c r="AQ64" s="471"/>
      <c r="AR64" s="471"/>
      <c r="AS64" s="470"/>
      <c r="AT64" s="471"/>
      <c r="AU64" s="472"/>
      <c r="AV64" s="470"/>
      <c r="AW64" s="471"/>
      <c r="AX64" s="471"/>
      <c r="AY64" s="470"/>
      <c r="AZ64" s="471"/>
      <c r="BA64" s="472"/>
      <c r="BB64" s="30">
        <v>12</v>
      </c>
      <c r="BC64" s="31">
        <v>18</v>
      </c>
      <c r="BD64" s="32">
        <v>-84</v>
      </c>
      <c r="BE64" s="30">
        <v>24</v>
      </c>
      <c r="BF64" s="24">
        <v>19</v>
      </c>
      <c r="BG64" s="10">
        <v>-81</v>
      </c>
      <c r="BH64" s="470"/>
      <c r="BI64" s="471"/>
      <c r="BJ64" s="471"/>
      <c r="BK64" s="470"/>
      <c r="BL64" s="471"/>
      <c r="BM64" s="472"/>
      <c r="BN64" s="470"/>
      <c r="BO64" s="471"/>
      <c r="BP64" s="471"/>
      <c r="BQ64" s="470"/>
      <c r="BR64" s="471"/>
      <c r="BS64" s="472"/>
      <c r="BT64" s="470"/>
      <c r="BU64" s="471"/>
      <c r="BV64" s="471"/>
      <c r="BW64" s="470"/>
      <c r="BX64" s="471"/>
      <c r="BY64" s="472"/>
      <c r="BZ64" s="470"/>
      <c r="CA64" s="471"/>
      <c r="CB64" s="471"/>
      <c r="CC64" s="470"/>
      <c r="CD64" s="471"/>
      <c r="CE64" s="472"/>
      <c r="CF64" s="470"/>
      <c r="CG64" s="471"/>
      <c r="CH64" s="471"/>
      <c r="CI64" s="470"/>
      <c r="CJ64" s="471"/>
      <c r="CK64" s="472"/>
    </row>
    <row r="65" spans="5:89" x14ac:dyDescent="0.2">
      <c r="E65" s="25"/>
      <c r="F65" s="315">
        <v>9</v>
      </c>
      <c r="G65" s="31">
        <v>19</v>
      </c>
      <c r="H65" s="32">
        <v>-86</v>
      </c>
      <c r="I65" s="6">
        <v>36</v>
      </c>
      <c r="J65" s="31">
        <v>19.5</v>
      </c>
      <c r="K65" s="99">
        <v>-81</v>
      </c>
      <c r="L65" s="470"/>
      <c r="M65" s="471"/>
      <c r="N65" s="471"/>
      <c r="O65" s="470"/>
      <c r="P65" s="471"/>
      <c r="Q65" s="684"/>
      <c r="R65" s="32">
        <v>18</v>
      </c>
      <c r="S65" s="31">
        <v>18</v>
      </c>
      <c r="T65" s="32">
        <v>-83</v>
      </c>
      <c r="U65" s="30">
        <v>36</v>
      </c>
      <c r="V65" s="24">
        <v>19</v>
      </c>
      <c r="W65" s="10">
        <v>-80</v>
      </c>
      <c r="X65" s="470"/>
      <c r="Y65" s="471"/>
      <c r="Z65" s="471"/>
      <c r="AA65" s="470"/>
      <c r="AB65" s="471"/>
      <c r="AC65" s="472"/>
      <c r="AD65" s="470"/>
      <c r="AE65" s="471"/>
      <c r="AF65" s="471"/>
      <c r="AG65" s="470"/>
      <c r="AH65" s="471"/>
      <c r="AI65" s="472"/>
      <c r="AJ65" s="470"/>
      <c r="AK65" s="471"/>
      <c r="AL65" s="471"/>
      <c r="AM65" s="470"/>
      <c r="AN65" s="471"/>
      <c r="AO65" s="472"/>
      <c r="AP65" s="470"/>
      <c r="AQ65" s="471"/>
      <c r="AR65" s="471"/>
      <c r="AS65" s="470"/>
      <c r="AT65" s="471"/>
      <c r="AU65" s="472"/>
      <c r="AV65" s="470"/>
      <c r="AW65" s="471"/>
      <c r="AX65" s="471"/>
      <c r="AY65" s="470"/>
      <c r="AZ65" s="471"/>
      <c r="BA65" s="472"/>
      <c r="BB65" s="30">
        <v>18</v>
      </c>
      <c r="BC65" s="31">
        <v>18</v>
      </c>
      <c r="BD65" s="32">
        <v>-83</v>
      </c>
      <c r="BE65" s="30">
        <v>36</v>
      </c>
      <c r="BF65" s="24">
        <v>19</v>
      </c>
      <c r="BG65" s="10">
        <v>-80</v>
      </c>
      <c r="BH65" s="470"/>
      <c r="BI65" s="471"/>
      <c r="BJ65" s="471"/>
      <c r="BK65" s="470"/>
      <c r="BL65" s="471"/>
      <c r="BM65" s="472"/>
      <c r="BN65" s="470"/>
      <c r="BO65" s="471"/>
      <c r="BP65" s="471"/>
      <c r="BQ65" s="470"/>
      <c r="BR65" s="471"/>
      <c r="BS65" s="472"/>
      <c r="BT65" s="470"/>
      <c r="BU65" s="471"/>
      <c r="BV65" s="471"/>
      <c r="BW65" s="470"/>
      <c r="BX65" s="471"/>
      <c r="BY65" s="472"/>
      <c r="BZ65" s="470"/>
      <c r="CA65" s="471"/>
      <c r="CB65" s="471"/>
      <c r="CC65" s="470"/>
      <c r="CD65" s="471"/>
      <c r="CE65" s="472"/>
      <c r="CF65" s="470"/>
      <c r="CG65" s="471"/>
      <c r="CH65" s="471"/>
      <c r="CI65" s="470"/>
      <c r="CJ65" s="471"/>
      <c r="CK65" s="472"/>
    </row>
    <row r="66" spans="5:89" ht="10.5" x14ac:dyDescent="0.25">
      <c r="E66" s="27"/>
      <c r="F66" s="315">
        <v>11</v>
      </c>
      <c r="G66" s="31">
        <v>19</v>
      </c>
      <c r="H66" s="32">
        <v>-87</v>
      </c>
      <c r="I66" s="6">
        <v>48</v>
      </c>
      <c r="J66" s="31">
        <v>19.5</v>
      </c>
      <c r="K66" s="99">
        <v>-78</v>
      </c>
      <c r="L66" s="470"/>
      <c r="M66" s="471"/>
      <c r="N66" s="471"/>
      <c r="O66" s="470"/>
      <c r="P66" s="471"/>
      <c r="Q66" s="684"/>
      <c r="R66" s="32">
        <v>24</v>
      </c>
      <c r="S66" s="31">
        <v>18</v>
      </c>
      <c r="T66" s="32">
        <v>-80</v>
      </c>
      <c r="U66" s="30">
        <v>48</v>
      </c>
      <c r="V66" s="24">
        <v>19</v>
      </c>
      <c r="W66" s="10">
        <v>-77</v>
      </c>
      <c r="X66" s="470"/>
      <c r="Y66" s="471"/>
      <c r="Z66" s="471"/>
      <c r="AA66" s="470"/>
      <c r="AB66" s="471"/>
      <c r="AC66" s="472"/>
      <c r="AD66" s="470"/>
      <c r="AE66" s="471"/>
      <c r="AF66" s="471"/>
      <c r="AG66" s="470"/>
      <c r="AH66" s="471"/>
      <c r="AI66" s="472"/>
      <c r="AJ66" s="470"/>
      <c r="AK66" s="471"/>
      <c r="AL66" s="471"/>
      <c r="AM66" s="470"/>
      <c r="AN66" s="471"/>
      <c r="AO66" s="472"/>
      <c r="AP66" s="470"/>
      <c r="AQ66" s="471"/>
      <c r="AR66" s="471"/>
      <c r="AS66" s="470"/>
      <c r="AT66" s="471"/>
      <c r="AU66" s="472"/>
      <c r="AV66" s="470"/>
      <c r="AW66" s="471"/>
      <c r="AX66" s="471"/>
      <c r="AY66" s="470"/>
      <c r="AZ66" s="471"/>
      <c r="BA66" s="472"/>
      <c r="BB66" s="30">
        <v>24</v>
      </c>
      <c r="BC66" s="31">
        <v>18</v>
      </c>
      <c r="BD66" s="32">
        <v>-80</v>
      </c>
      <c r="BE66" s="30">
        <v>48</v>
      </c>
      <c r="BF66" s="24">
        <v>19</v>
      </c>
      <c r="BG66" s="10">
        <v>-77</v>
      </c>
      <c r="BH66" s="470"/>
      <c r="BI66" s="471"/>
      <c r="BJ66" s="471"/>
      <c r="BK66" s="470"/>
      <c r="BL66" s="471"/>
      <c r="BM66" s="472"/>
      <c r="BN66" s="470"/>
      <c r="BO66" s="471"/>
      <c r="BP66" s="471"/>
      <c r="BQ66" s="470"/>
      <c r="BR66" s="471"/>
      <c r="BS66" s="472"/>
      <c r="BT66" s="470"/>
      <c r="BU66" s="471"/>
      <c r="BV66" s="471"/>
      <c r="BW66" s="470"/>
      <c r="BX66" s="471"/>
      <c r="BY66" s="472"/>
      <c r="BZ66" s="470"/>
      <c r="CA66" s="471"/>
      <c r="CB66" s="471"/>
      <c r="CC66" s="470"/>
      <c r="CD66" s="471"/>
      <c r="CE66" s="472"/>
      <c r="CF66" s="470"/>
      <c r="CG66" s="471"/>
      <c r="CH66" s="471"/>
      <c r="CI66" s="470"/>
      <c r="CJ66" s="471"/>
      <c r="CK66" s="472"/>
    </row>
    <row r="67" spans="5:89" ht="10.5" x14ac:dyDescent="0.25">
      <c r="E67" s="27"/>
      <c r="F67" s="315">
        <v>12</v>
      </c>
      <c r="G67" s="31">
        <v>19</v>
      </c>
      <c r="H67" s="32">
        <v>-85</v>
      </c>
      <c r="I67" s="6">
        <v>72</v>
      </c>
      <c r="J67" s="31">
        <v>18</v>
      </c>
      <c r="K67" s="99">
        <v>-75</v>
      </c>
      <c r="L67" s="470"/>
      <c r="M67" s="471"/>
      <c r="N67" s="471"/>
      <c r="O67" s="470"/>
      <c r="P67" s="471"/>
      <c r="Q67" s="684"/>
      <c r="R67" s="32">
        <v>36</v>
      </c>
      <c r="S67" s="31">
        <v>16.5</v>
      </c>
      <c r="T67" s="32">
        <v>-77</v>
      </c>
      <c r="U67" s="30">
        <v>72</v>
      </c>
      <c r="V67" s="24">
        <v>17</v>
      </c>
      <c r="W67" s="10">
        <v>-74</v>
      </c>
      <c r="X67" s="470"/>
      <c r="Y67" s="471"/>
      <c r="Z67" s="471"/>
      <c r="AA67" s="470"/>
      <c r="AB67" s="471"/>
      <c r="AC67" s="472"/>
      <c r="AD67" s="470"/>
      <c r="AE67" s="471"/>
      <c r="AF67" s="471"/>
      <c r="AG67" s="470"/>
      <c r="AH67" s="471"/>
      <c r="AI67" s="472"/>
      <c r="AJ67" s="470"/>
      <c r="AK67" s="471"/>
      <c r="AL67" s="471"/>
      <c r="AM67" s="470"/>
      <c r="AN67" s="471"/>
      <c r="AO67" s="472"/>
      <c r="AP67" s="470"/>
      <c r="AQ67" s="471"/>
      <c r="AR67" s="471"/>
      <c r="AS67" s="470"/>
      <c r="AT67" s="471"/>
      <c r="AU67" s="472"/>
      <c r="AV67" s="470"/>
      <c r="AW67" s="471"/>
      <c r="AX67" s="471"/>
      <c r="AY67" s="470"/>
      <c r="AZ67" s="471"/>
      <c r="BA67" s="472"/>
      <c r="BB67" s="30">
        <v>36</v>
      </c>
      <c r="BC67" s="31">
        <v>16.5</v>
      </c>
      <c r="BD67" s="32">
        <v>-77</v>
      </c>
      <c r="BE67" s="30">
        <v>72</v>
      </c>
      <c r="BF67" s="24">
        <v>17</v>
      </c>
      <c r="BG67" s="10">
        <v>-74</v>
      </c>
      <c r="BH67" s="470"/>
      <c r="BI67" s="471"/>
      <c r="BJ67" s="471"/>
      <c r="BK67" s="470"/>
      <c r="BL67" s="471"/>
      <c r="BM67" s="472"/>
      <c r="BN67" s="470"/>
      <c r="BO67" s="471"/>
      <c r="BP67" s="471"/>
      <c r="BQ67" s="470"/>
      <c r="BR67" s="471"/>
      <c r="BS67" s="472"/>
      <c r="BT67" s="470"/>
      <c r="BU67" s="471"/>
      <c r="BV67" s="471"/>
      <c r="BW67" s="470"/>
      <c r="BX67" s="471"/>
      <c r="BY67" s="472"/>
      <c r="BZ67" s="470"/>
      <c r="CA67" s="471"/>
      <c r="CB67" s="471"/>
      <c r="CC67" s="470"/>
      <c r="CD67" s="471"/>
      <c r="CE67" s="472"/>
      <c r="CF67" s="470"/>
      <c r="CG67" s="471"/>
      <c r="CH67" s="471"/>
      <c r="CI67" s="470"/>
      <c r="CJ67" s="471"/>
      <c r="CK67" s="472"/>
    </row>
    <row r="68" spans="5:89" ht="10.5" x14ac:dyDescent="0.25">
      <c r="E68" s="27"/>
      <c r="F68" s="315">
        <v>18</v>
      </c>
      <c r="G68" s="31">
        <v>19</v>
      </c>
      <c r="H68" s="32">
        <v>-84</v>
      </c>
      <c r="I68" s="6">
        <v>96</v>
      </c>
      <c r="J68" s="31">
        <v>17</v>
      </c>
      <c r="K68" s="99">
        <v>-71</v>
      </c>
      <c r="L68" s="470"/>
      <c r="M68" s="471"/>
      <c r="N68" s="471"/>
      <c r="O68" s="470"/>
      <c r="P68" s="471"/>
      <c r="Q68" s="684"/>
      <c r="R68" s="32">
        <v>48</v>
      </c>
      <c r="S68" s="31">
        <v>13.5</v>
      </c>
      <c r="T68" s="32">
        <v>-72</v>
      </c>
      <c r="U68" s="30">
        <v>96</v>
      </c>
      <c r="V68" s="24">
        <v>14</v>
      </c>
      <c r="W68" s="10">
        <v>-69</v>
      </c>
      <c r="X68" s="470"/>
      <c r="Y68" s="471"/>
      <c r="Z68" s="471"/>
      <c r="AA68" s="470"/>
      <c r="AB68" s="471"/>
      <c r="AC68" s="472"/>
      <c r="AD68" s="470"/>
      <c r="AE68" s="471"/>
      <c r="AF68" s="471"/>
      <c r="AG68" s="470"/>
      <c r="AH68" s="471"/>
      <c r="AI68" s="472"/>
      <c r="AJ68" s="470"/>
      <c r="AK68" s="471"/>
      <c r="AL68" s="471"/>
      <c r="AM68" s="470"/>
      <c r="AN68" s="471"/>
      <c r="AO68" s="472"/>
      <c r="AP68" s="470"/>
      <c r="AQ68" s="471"/>
      <c r="AR68" s="471"/>
      <c r="AS68" s="470"/>
      <c r="AT68" s="471"/>
      <c r="AU68" s="472"/>
      <c r="AV68" s="470"/>
      <c r="AW68" s="471"/>
      <c r="AX68" s="471"/>
      <c r="AY68" s="470"/>
      <c r="AZ68" s="471"/>
      <c r="BA68" s="472"/>
      <c r="BB68" s="30">
        <v>48</v>
      </c>
      <c r="BC68" s="31">
        <v>13.5</v>
      </c>
      <c r="BD68" s="32">
        <v>-72</v>
      </c>
      <c r="BE68" s="30">
        <v>96</v>
      </c>
      <c r="BF68" s="24">
        <v>14</v>
      </c>
      <c r="BG68" s="10">
        <v>-69</v>
      </c>
      <c r="BH68" s="470"/>
      <c r="BI68" s="471"/>
      <c r="BJ68" s="471"/>
      <c r="BK68" s="470"/>
      <c r="BL68" s="471"/>
      <c r="BM68" s="472"/>
      <c r="BN68" s="470"/>
      <c r="BO68" s="471"/>
      <c r="BP68" s="471"/>
      <c r="BQ68" s="470"/>
      <c r="BR68" s="471"/>
      <c r="BS68" s="472"/>
      <c r="BT68" s="470"/>
      <c r="BU68" s="471"/>
      <c r="BV68" s="471"/>
      <c r="BW68" s="470"/>
      <c r="BX68" s="471"/>
      <c r="BY68" s="472"/>
      <c r="BZ68" s="470"/>
      <c r="CA68" s="471"/>
      <c r="CB68" s="471"/>
      <c r="CC68" s="470"/>
      <c r="CD68" s="471"/>
      <c r="CE68" s="472"/>
      <c r="CF68" s="470"/>
      <c r="CG68" s="471"/>
      <c r="CH68" s="471"/>
      <c r="CI68" s="470"/>
      <c r="CJ68" s="471"/>
      <c r="CK68" s="472"/>
    </row>
    <row r="69" spans="5:89" ht="10.5" x14ac:dyDescent="0.25">
      <c r="E69" s="27"/>
      <c r="F69" s="315">
        <v>24</v>
      </c>
      <c r="G69" s="31">
        <v>19</v>
      </c>
      <c r="H69" s="32">
        <v>-81</v>
      </c>
      <c r="I69" s="6">
        <v>108</v>
      </c>
      <c r="J69" s="31">
        <v>16</v>
      </c>
      <c r="K69" s="99">
        <v>-67</v>
      </c>
      <c r="L69" s="470"/>
      <c r="M69" s="471"/>
      <c r="N69" s="471"/>
      <c r="O69" s="470"/>
      <c r="P69" s="471"/>
      <c r="Q69" s="684"/>
      <c r="R69" s="32">
        <v>54</v>
      </c>
      <c r="S69" s="31">
        <v>12</v>
      </c>
      <c r="T69" s="32">
        <v>-67</v>
      </c>
      <c r="U69" s="30">
        <v>108</v>
      </c>
      <c r="V69" s="24">
        <v>12</v>
      </c>
      <c r="W69" s="10">
        <v>-64</v>
      </c>
      <c r="X69" s="470"/>
      <c r="Y69" s="471"/>
      <c r="Z69" s="471"/>
      <c r="AA69" s="470"/>
      <c r="AB69" s="471"/>
      <c r="AC69" s="472"/>
      <c r="AD69" s="470"/>
      <c r="AE69" s="471"/>
      <c r="AF69" s="471"/>
      <c r="AG69" s="470"/>
      <c r="AH69" s="471"/>
      <c r="AI69" s="472"/>
      <c r="AJ69" s="470"/>
      <c r="AK69" s="471"/>
      <c r="AL69" s="471"/>
      <c r="AM69" s="470"/>
      <c r="AN69" s="471"/>
      <c r="AO69" s="472"/>
      <c r="AP69" s="470"/>
      <c r="AQ69" s="471"/>
      <c r="AR69" s="471"/>
      <c r="AS69" s="470"/>
      <c r="AT69" s="471"/>
      <c r="AU69" s="472"/>
      <c r="AV69" s="470"/>
      <c r="AW69" s="471"/>
      <c r="AX69" s="471"/>
      <c r="AY69" s="470"/>
      <c r="AZ69" s="471"/>
      <c r="BA69" s="472"/>
      <c r="BB69" s="30">
        <v>54</v>
      </c>
      <c r="BC69" s="31">
        <v>12</v>
      </c>
      <c r="BD69" s="32">
        <v>-67</v>
      </c>
      <c r="BE69" s="30">
        <v>108</v>
      </c>
      <c r="BF69" s="24">
        <v>12</v>
      </c>
      <c r="BG69" s="10">
        <v>-64</v>
      </c>
      <c r="BH69" s="470"/>
      <c r="BI69" s="471"/>
      <c r="BJ69" s="471"/>
      <c r="BK69" s="470"/>
      <c r="BL69" s="471"/>
      <c r="BM69" s="472"/>
      <c r="BN69" s="470"/>
      <c r="BO69" s="471"/>
      <c r="BP69" s="471"/>
      <c r="BQ69" s="470"/>
      <c r="BR69" s="471"/>
      <c r="BS69" s="472"/>
      <c r="BT69" s="470"/>
      <c r="BU69" s="471"/>
      <c r="BV69" s="471"/>
      <c r="BW69" s="470"/>
      <c r="BX69" s="471"/>
      <c r="BY69" s="472"/>
      <c r="BZ69" s="470"/>
      <c r="CA69" s="471"/>
      <c r="CB69" s="471"/>
      <c r="CC69" s="470"/>
      <c r="CD69" s="471"/>
      <c r="CE69" s="472"/>
      <c r="CF69" s="470"/>
      <c r="CG69" s="471"/>
      <c r="CH69" s="471"/>
      <c r="CI69" s="470"/>
      <c r="CJ69" s="471"/>
      <c r="CK69" s="472"/>
    </row>
    <row r="70" spans="5:89" ht="10.5" x14ac:dyDescent="0.25">
      <c r="E70" s="27"/>
      <c r="F70" s="315">
        <v>36</v>
      </c>
      <c r="G70" s="31">
        <v>17</v>
      </c>
      <c r="H70" s="32">
        <v>-78</v>
      </c>
      <c r="I70" s="6"/>
      <c r="J70" s="2"/>
      <c r="K70" s="10"/>
      <c r="L70" s="470"/>
      <c r="M70" s="471"/>
      <c r="N70" s="471"/>
      <c r="O70" s="470"/>
      <c r="P70" s="471"/>
      <c r="Q70" s="684"/>
      <c r="R70" s="2"/>
      <c r="S70" s="2"/>
      <c r="T70" s="2"/>
      <c r="U70" s="39"/>
      <c r="V70" s="2"/>
      <c r="W70" s="10"/>
      <c r="X70" s="470"/>
      <c r="Y70" s="471"/>
      <c r="Z70" s="471"/>
      <c r="AA70" s="470"/>
      <c r="AB70" s="471"/>
      <c r="AC70" s="472"/>
      <c r="AD70" s="470"/>
      <c r="AE70" s="471"/>
      <c r="AF70" s="471"/>
      <c r="AG70" s="470"/>
      <c r="AH70" s="471"/>
      <c r="AI70" s="472"/>
      <c r="AJ70" s="470"/>
      <c r="AK70" s="471"/>
      <c r="AL70" s="471"/>
      <c r="AM70" s="470"/>
      <c r="AN70" s="471"/>
      <c r="AO70" s="472"/>
      <c r="AP70" s="470"/>
      <c r="AQ70" s="471"/>
      <c r="AR70" s="471"/>
      <c r="AS70" s="470"/>
      <c r="AT70" s="471"/>
      <c r="AU70" s="472"/>
      <c r="AV70" s="470"/>
      <c r="AW70" s="471"/>
      <c r="AX70" s="471"/>
      <c r="AY70" s="470"/>
      <c r="AZ70" s="471"/>
      <c r="BA70" s="472"/>
      <c r="BB70" s="6"/>
      <c r="BC70" s="2"/>
      <c r="BD70" s="2"/>
      <c r="BE70" s="39"/>
      <c r="BF70" s="2"/>
      <c r="BG70" s="10"/>
      <c r="BH70" s="470"/>
      <c r="BI70" s="471"/>
      <c r="BJ70" s="471"/>
      <c r="BK70" s="470"/>
      <c r="BL70" s="471"/>
      <c r="BM70" s="472"/>
      <c r="BN70" s="470"/>
      <c r="BO70" s="471"/>
      <c r="BP70" s="471"/>
      <c r="BQ70" s="470"/>
      <c r="BR70" s="471"/>
      <c r="BS70" s="472"/>
      <c r="BT70" s="470"/>
      <c r="BU70" s="471"/>
      <c r="BV70" s="471"/>
      <c r="BW70" s="470"/>
      <c r="BX70" s="471"/>
      <c r="BY70" s="472"/>
      <c r="BZ70" s="470"/>
      <c r="CA70" s="471"/>
      <c r="CB70" s="471"/>
      <c r="CC70" s="470"/>
      <c r="CD70" s="471"/>
      <c r="CE70" s="472"/>
      <c r="CF70" s="470"/>
      <c r="CG70" s="471"/>
      <c r="CH70" s="471"/>
      <c r="CI70" s="470"/>
      <c r="CJ70" s="471"/>
      <c r="CK70" s="472"/>
    </row>
    <row r="71" spans="5:89" ht="10.5" x14ac:dyDescent="0.25">
      <c r="E71" s="27"/>
      <c r="F71" s="315">
        <v>48</v>
      </c>
      <c r="G71" s="31">
        <v>15</v>
      </c>
      <c r="H71" s="32">
        <v>-74</v>
      </c>
      <c r="I71" s="6"/>
      <c r="J71" s="2"/>
      <c r="K71" s="10"/>
      <c r="L71" s="470"/>
      <c r="M71" s="471"/>
      <c r="N71" s="471"/>
      <c r="O71" s="470"/>
      <c r="P71" s="471"/>
      <c r="Q71" s="684"/>
      <c r="R71" s="24"/>
      <c r="S71" s="31"/>
      <c r="T71" s="31"/>
      <c r="U71" s="30"/>
      <c r="V71" s="2"/>
      <c r="W71" s="10"/>
      <c r="X71" s="470"/>
      <c r="Y71" s="471"/>
      <c r="Z71" s="471"/>
      <c r="AA71" s="470"/>
      <c r="AB71" s="471"/>
      <c r="AC71" s="472"/>
      <c r="AD71" s="470"/>
      <c r="AE71" s="471"/>
      <c r="AF71" s="471"/>
      <c r="AG71" s="470"/>
      <c r="AH71" s="471"/>
      <c r="AI71" s="472"/>
      <c r="AJ71" s="470"/>
      <c r="AK71" s="471"/>
      <c r="AL71" s="471"/>
      <c r="AM71" s="470"/>
      <c r="AN71" s="471"/>
      <c r="AO71" s="472"/>
      <c r="AP71" s="470"/>
      <c r="AQ71" s="471"/>
      <c r="AR71" s="471"/>
      <c r="AS71" s="470"/>
      <c r="AT71" s="471"/>
      <c r="AU71" s="472"/>
      <c r="AV71" s="470"/>
      <c r="AW71" s="471"/>
      <c r="AX71" s="471"/>
      <c r="AY71" s="470"/>
      <c r="AZ71" s="471"/>
      <c r="BA71" s="472"/>
      <c r="BB71" s="21"/>
      <c r="BC71" s="31"/>
      <c r="BD71" s="31"/>
      <c r="BE71" s="30"/>
      <c r="BF71" s="2"/>
      <c r="BG71" s="10"/>
      <c r="BH71" s="470"/>
      <c r="BI71" s="471"/>
      <c r="BJ71" s="471"/>
      <c r="BK71" s="470"/>
      <c r="BL71" s="471"/>
      <c r="BM71" s="472"/>
      <c r="BN71" s="470"/>
      <c r="BO71" s="471"/>
      <c r="BP71" s="471"/>
      <c r="BQ71" s="470"/>
      <c r="BR71" s="471"/>
      <c r="BS71" s="472"/>
      <c r="BT71" s="470"/>
      <c r="BU71" s="471"/>
      <c r="BV71" s="471"/>
      <c r="BW71" s="470"/>
      <c r="BX71" s="471"/>
      <c r="BY71" s="472"/>
      <c r="BZ71" s="470"/>
      <c r="CA71" s="471"/>
      <c r="CB71" s="471"/>
      <c r="CC71" s="470"/>
      <c r="CD71" s="471"/>
      <c r="CE71" s="472"/>
      <c r="CF71" s="470"/>
      <c r="CG71" s="471"/>
      <c r="CH71" s="471"/>
      <c r="CI71" s="470"/>
      <c r="CJ71" s="471"/>
      <c r="CK71" s="472"/>
    </row>
    <row r="72" spans="5:89" ht="11" thickBot="1" x14ac:dyDescent="0.3">
      <c r="E72" s="27"/>
      <c r="F72" s="316">
        <v>54</v>
      </c>
      <c r="G72" s="317">
        <v>14</v>
      </c>
      <c r="H72" s="317">
        <v>-70</v>
      </c>
      <c r="I72" s="300"/>
      <c r="J72" s="55"/>
      <c r="K72" s="309"/>
      <c r="L72" s="473"/>
      <c r="M72" s="474"/>
      <c r="N72" s="474"/>
      <c r="O72" s="473"/>
      <c r="P72" s="474"/>
      <c r="Q72" s="685"/>
      <c r="R72" s="103"/>
      <c r="S72" s="41"/>
      <c r="T72" s="41"/>
      <c r="U72" s="33"/>
      <c r="V72" s="8"/>
      <c r="W72" s="11"/>
      <c r="X72" s="473"/>
      <c r="Y72" s="474"/>
      <c r="Z72" s="474"/>
      <c r="AA72" s="473"/>
      <c r="AB72" s="474"/>
      <c r="AC72" s="475"/>
      <c r="AD72" s="473"/>
      <c r="AE72" s="474"/>
      <c r="AF72" s="474"/>
      <c r="AG72" s="473"/>
      <c r="AH72" s="474"/>
      <c r="AI72" s="475"/>
      <c r="AJ72" s="473"/>
      <c r="AK72" s="474"/>
      <c r="AL72" s="474"/>
      <c r="AM72" s="473"/>
      <c r="AN72" s="474"/>
      <c r="AO72" s="475"/>
      <c r="AP72" s="473"/>
      <c r="AQ72" s="474"/>
      <c r="AR72" s="474"/>
      <c r="AS72" s="473"/>
      <c r="AT72" s="474"/>
      <c r="AU72" s="475"/>
      <c r="AV72" s="473"/>
      <c r="AW72" s="474"/>
      <c r="AX72" s="474"/>
      <c r="AY72" s="473"/>
      <c r="AZ72" s="474"/>
      <c r="BA72" s="475"/>
      <c r="BB72" s="23"/>
      <c r="BC72" s="41"/>
      <c r="BD72" s="41"/>
      <c r="BE72" s="33"/>
      <c r="BF72" s="8"/>
      <c r="BG72" s="11"/>
      <c r="BH72" s="473"/>
      <c r="BI72" s="474"/>
      <c r="BJ72" s="474"/>
      <c r="BK72" s="473"/>
      <c r="BL72" s="474"/>
      <c r="BM72" s="475"/>
      <c r="BN72" s="473"/>
      <c r="BO72" s="474"/>
      <c r="BP72" s="474"/>
      <c r="BQ72" s="473"/>
      <c r="BR72" s="474"/>
      <c r="BS72" s="475"/>
      <c r="BT72" s="473"/>
      <c r="BU72" s="474"/>
      <c r="BV72" s="474"/>
      <c r="BW72" s="473"/>
      <c r="BX72" s="474"/>
      <c r="BY72" s="475"/>
      <c r="BZ72" s="473"/>
      <c r="CA72" s="474"/>
      <c r="CB72" s="474"/>
      <c r="CC72" s="473"/>
      <c r="CD72" s="474"/>
      <c r="CE72" s="475"/>
      <c r="CF72" s="473"/>
      <c r="CG72" s="474"/>
      <c r="CH72" s="474"/>
      <c r="CI72" s="473"/>
      <c r="CJ72" s="474"/>
      <c r="CK72" s="475"/>
    </row>
    <row r="73" spans="5:89" ht="10.5" x14ac:dyDescent="0.25">
      <c r="E73" s="27"/>
      <c r="F73" s="31"/>
      <c r="G73" s="31"/>
      <c r="H73" s="31"/>
      <c r="I73" s="31"/>
      <c r="J73" s="31"/>
      <c r="K73" s="31"/>
      <c r="L73" s="31"/>
      <c r="M73" s="31"/>
      <c r="N73" s="31"/>
      <c r="O73" s="31"/>
      <c r="P73" s="31"/>
      <c r="Q73" s="31"/>
      <c r="R73" s="24"/>
      <c r="S73" s="31"/>
      <c r="T73" s="31"/>
      <c r="U73" s="32"/>
      <c r="V73" s="2"/>
      <c r="W73" s="2"/>
      <c r="X73" s="2"/>
      <c r="Y73" s="2"/>
      <c r="Z73" s="2"/>
      <c r="AA73" s="2"/>
      <c r="AB73" s="2"/>
      <c r="AC73" s="2"/>
      <c r="AJ73" s="2"/>
      <c r="AK73" s="2"/>
      <c r="AL73" s="2"/>
      <c r="AM73" s="2"/>
      <c r="AN73" s="2"/>
      <c r="AO73" s="2"/>
      <c r="AV73" s="2"/>
      <c r="AW73" s="2"/>
      <c r="AX73" s="2"/>
      <c r="AY73" s="2"/>
      <c r="AZ73" s="2"/>
      <c r="BA73" s="2"/>
      <c r="BH73" s="2"/>
      <c r="BI73" s="2"/>
      <c r="BJ73" s="2"/>
      <c r="BK73" s="2"/>
      <c r="BL73" s="2"/>
      <c r="BM73" s="2"/>
      <c r="BT73" s="2"/>
      <c r="BU73" s="2"/>
      <c r="BV73" s="2"/>
      <c r="BW73" s="2"/>
      <c r="BX73" s="2"/>
      <c r="BY73" s="2"/>
    </row>
    <row r="74" spans="5:89" ht="10.5" x14ac:dyDescent="0.25">
      <c r="E74" s="31"/>
      <c r="F74" s="26" t="s">
        <v>0</v>
      </c>
      <c r="G74" s="26"/>
      <c r="H74" s="26"/>
      <c r="I74" s="26"/>
      <c r="J74" s="26"/>
      <c r="K74" s="26"/>
      <c r="L74" s="31"/>
      <c r="M74" s="31"/>
      <c r="N74" s="31"/>
      <c r="O74" s="31"/>
      <c r="P74" s="31"/>
      <c r="Q74" s="31"/>
      <c r="R74" s="26" t="s">
        <v>1</v>
      </c>
      <c r="S74" s="25"/>
      <c r="T74" s="25"/>
      <c r="U74" s="25"/>
      <c r="X74" s="2"/>
      <c r="Y74" s="2"/>
      <c r="Z74" s="2"/>
      <c r="AA74" s="2"/>
      <c r="AB74" s="2"/>
      <c r="AC74" s="2"/>
      <c r="AD74" s="853" t="s">
        <v>410</v>
      </c>
      <c r="AE74" s="852"/>
      <c r="AF74" s="852"/>
      <c r="AG74" s="852"/>
      <c r="AJ74" s="2"/>
      <c r="AK74" s="2"/>
      <c r="AL74" s="2"/>
      <c r="AM74" s="2"/>
      <c r="AN74" s="2"/>
      <c r="AO74" s="2"/>
      <c r="AP74" s="853" t="s">
        <v>411</v>
      </c>
      <c r="AQ74" s="852"/>
      <c r="AR74" s="852"/>
      <c r="AS74" s="852"/>
      <c r="AV74" s="2"/>
      <c r="AW74" s="2"/>
      <c r="AX74" s="2"/>
      <c r="AY74" s="2"/>
      <c r="AZ74" s="2"/>
      <c r="BA74" s="2"/>
      <c r="BB74" s="44" t="s">
        <v>223</v>
      </c>
      <c r="BH74" s="2"/>
      <c r="BI74" s="2"/>
      <c r="BJ74" s="2"/>
      <c r="BK74" s="2"/>
      <c r="BL74" s="2"/>
      <c r="BM74" s="2"/>
      <c r="BN74" s="44" t="s">
        <v>351</v>
      </c>
      <c r="BT74" s="2"/>
      <c r="BU74" s="2"/>
      <c r="BV74" s="2"/>
      <c r="BW74" s="2"/>
      <c r="BX74" s="2"/>
      <c r="BY74" s="2"/>
      <c r="BZ74" s="44" t="s">
        <v>515</v>
      </c>
      <c r="CF74" s="2"/>
      <c r="CG74" s="2"/>
      <c r="CH74" s="2"/>
      <c r="CI74" s="2"/>
      <c r="CJ74" s="2"/>
      <c r="CK74" s="2"/>
    </row>
    <row r="75" spans="5:89" ht="11" thickBot="1" x14ac:dyDescent="0.3">
      <c r="E75" s="31"/>
      <c r="F75" s="26" t="s">
        <v>113</v>
      </c>
      <c r="G75" s="26" t="s">
        <v>108</v>
      </c>
      <c r="H75" s="26" t="s">
        <v>109</v>
      </c>
      <c r="I75" s="26" t="s">
        <v>110</v>
      </c>
      <c r="J75" s="26" t="s">
        <v>111</v>
      </c>
      <c r="K75" s="26" t="s">
        <v>112</v>
      </c>
      <c r="L75" s="31"/>
      <c r="M75" s="31"/>
      <c r="N75" s="31"/>
      <c r="O75" s="31"/>
      <c r="P75" s="31"/>
      <c r="Q75" s="31"/>
      <c r="R75" s="26" t="s">
        <v>113</v>
      </c>
      <c r="S75" s="159" t="s">
        <v>108</v>
      </c>
      <c r="T75" s="159" t="s">
        <v>109</v>
      </c>
      <c r="U75" s="26" t="s">
        <v>110</v>
      </c>
      <c r="V75" s="26" t="s">
        <v>111</v>
      </c>
      <c r="W75" s="26" t="s">
        <v>112</v>
      </c>
      <c r="X75" s="2"/>
      <c r="Y75" s="2"/>
      <c r="Z75" s="2"/>
      <c r="AA75" s="2"/>
      <c r="AB75" s="2"/>
      <c r="AC75" s="2"/>
      <c r="AD75" s="159" t="s">
        <v>88</v>
      </c>
      <c r="AE75" s="159" t="s">
        <v>83</v>
      </c>
      <c r="AF75" s="159" t="s">
        <v>84</v>
      </c>
      <c r="AG75" s="159" t="s">
        <v>87</v>
      </c>
      <c r="AH75" s="159" t="s">
        <v>85</v>
      </c>
      <c r="AI75" s="159" t="s">
        <v>86</v>
      </c>
      <c r="AJ75" s="2"/>
      <c r="AK75" s="2"/>
      <c r="AL75" s="2"/>
      <c r="AM75" s="2"/>
      <c r="AN75" s="2"/>
      <c r="AO75" s="2"/>
      <c r="AP75" s="159" t="s">
        <v>88</v>
      </c>
      <c r="AQ75" s="159" t="s">
        <v>83</v>
      </c>
      <c r="AR75" s="159" t="s">
        <v>84</v>
      </c>
      <c r="AS75" s="159" t="s">
        <v>87</v>
      </c>
      <c r="AT75" s="159" t="s">
        <v>85</v>
      </c>
      <c r="AU75" s="159" t="s">
        <v>86</v>
      </c>
      <c r="AV75" s="2"/>
      <c r="AW75" s="2"/>
      <c r="AX75" s="2"/>
      <c r="AY75" s="2"/>
      <c r="AZ75" s="2"/>
      <c r="BA75" s="2"/>
      <c r="BB75" s="102" t="s">
        <v>88</v>
      </c>
      <c r="BC75" s="102" t="s">
        <v>83</v>
      </c>
      <c r="BD75" s="102" t="s">
        <v>84</v>
      </c>
      <c r="BE75" s="102" t="s">
        <v>87</v>
      </c>
      <c r="BF75" s="102" t="s">
        <v>85</v>
      </c>
      <c r="BG75" s="102" t="s">
        <v>86</v>
      </c>
      <c r="BH75" s="2"/>
      <c r="BI75" s="2"/>
      <c r="BJ75" s="2"/>
      <c r="BK75" s="2"/>
      <c r="BL75" s="2"/>
      <c r="BM75" s="2"/>
      <c r="BN75" s="102" t="s">
        <v>88</v>
      </c>
      <c r="BO75" s="102" t="s">
        <v>83</v>
      </c>
      <c r="BP75" s="102" t="s">
        <v>84</v>
      </c>
      <c r="BQ75" s="102" t="s">
        <v>87</v>
      </c>
      <c r="BR75" s="102" t="s">
        <v>85</v>
      </c>
      <c r="BS75" s="102" t="s">
        <v>86</v>
      </c>
      <c r="BT75" s="2"/>
      <c r="BU75" s="2"/>
      <c r="BV75" s="2"/>
      <c r="BW75" s="2"/>
      <c r="BX75" s="2"/>
      <c r="BY75" s="2"/>
      <c r="BZ75" s="102" t="s">
        <v>88</v>
      </c>
      <c r="CA75" s="102" t="s">
        <v>83</v>
      </c>
      <c r="CB75" s="102" t="s">
        <v>84</v>
      </c>
      <c r="CC75" s="102" t="s">
        <v>87</v>
      </c>
      <c r="CD75" s="102" t="s">
        <v>85</v>
      </c>
      <c r="CE75" s="102" t="s">
        <v>86</v>
      </c>
      <c r="CF75" s="102" t="s">
        <v>512</v>
      </c>
      <c r="CG75" s="102" t="s">
        <v>514</v>
      </c>
      <c r="CH75" s="102" t="s">
        <v>513</v>
      </c>
      <c r="CI75" s="102" t="s">
        <v>516</v>
      </c>
      <c r="CJ75" s="102" t="s">
        <v>517</v>
      </c>
      <c r="CK75" s="102" t="s">
        <v>518</v>
      </c>
    </row>
    <row r="76" spans="5:89" x14ac:dyDescent="0.2">
      <c r="E76" s="31" t="s">
        <v>29</v>
      </c>
      <c r="F76" s="293">
        <v>1</v>
      </c>
      <c r="G76" s="301">
        <v>17</v>
      </c>
      <c r="H76" s="301">
        <v>-94</v>
      </c>
      <c r="I76" s="295">
        <v>12</v>
      </c>
      <c r="J76" s="301">
        <v>16.5</v>
      </c>
      <c r="K76" s="686">
        <v>-86</v>
      </c>
      <c r="L76" s="467"/>
      <c r="M76" s="468"/>
      <c r="N76" s="468"/>
      <c r="O76" s="467"/>
      <c r="P76" s="468"/>
      <c r="Q76" s="683"/>
      <c r="R76" s="38">
        <v>6</v>
      </c>
      <c r="S76" s="38">
        <v>17</v>
      </c>
      <c r="T76" s="38">
        <v>-87</v>
      </c>
      <c r="U76" s="28">
        <v>12</v>
      </c>
      <c r="V76" s="108">
        <v>16</v>
      </c>
      <c r="W76" s="94">
        <v>-84</v>
      </c>
      <c r="X76" s="467"/>
      <c r="Y76" s="468"/>
      <c r="Z76" s="468"/>
      <c r="AA76" s="467"/>
      <c r="AB76" s="468"/>
      <c r="AC76" s="469"/>
      <c r="AD76" s="467"/>
      <c r="AE76" s="468"/>
      <c r="AF76" s="468"/>
      <c r="AG76" s="467"/>
      <c r="AH76" s="468"/>
      <c r="AI76" s="469"/>
      <c r="AJ76" s="467"/>
      <c r="AK76" s="468"/>
      <c r="AL76" s="468"/>
      <c r="AM76" s="467"/>
      <c r="AN76" s="468"/>
      <c r="AO76" s="469"/>
      <c r="AP76" s="467"/>
      <c r="AQ76" s="468"/>
      <c r="AR76" s="468"/>
      <c r="AS76" s="467"/>
      <c r="AT76" s="468"/>
      <c r="AU76" s="469"/>
      <c r="AV76" s="467"/>
      <c r="AW76" s="468"/>
      <c r="AX76" s="468"/>
      <c r="AY76" s="467"/>
      <c r="AZ76" s="468"/>
      <c r="BA76" s="469"/>
      <c r="BB76" s="37">
        <v>6</v>
      </c>
      <c r="BC76" s="38">
        <v>17</v>
      </c>
      <c r="BD76" s="38">
        <v>-87</v>
      </c>
      <c r="BE76" s="28">
        <v>12</v>
      </c>
      <c r="BF76" s="108">
        <v>16</v>
      </c>
      <c r="BG76" s="94">
        <v>-84</v>
      </c>
      <c r="BH76" s="467"/>
      <c r="BI76" s="468"/>
      <c r="BJ76" s="468"/>
      <c r="BK76" s="467"/>
      <c r="BL76" s="468"/>
      <c r="BM76" s="469"/>
      <c r="BN76" s="467"/>
      <c r="BO76" s="468"/>
      <c r="BP76" s="468"/>
      <c r="BQ76" s="467"/>
      <c r="BR76" s="468"/>
      <c r="BS76" s="469"/>
      <c r="BT76" s="467"/>
      <c r="BU76" s="468"/>
      <c r="BV76" s="468"/>
      <c r="BW76" s="467"/>
      <c r="BX76" s="468"/>
      <c r="BY76" s="469"/>
      <c r="BZ76" s="467"/>
      <c r="CA76" s="468"/>
      <c r="CB76" s="468"/>
      <c r="CC76" s="467"/>
      <c r="CD76" s="468"/>
      <c r="CE76" s="469"/>
      <c r="CF76" s="467"/>
      <c r="CG76" s="468"/>
      <c r="CH76" s="468"/>
      <c r="CI76" s="467"/>
      <c r="CJ76" s="468"/>
      <c r="CK76" s="469"/>
    </row>
    <row r="77" spans="5:89" x14ac:dyDescent="0.2">
      <c r="E77" s="233" t="s">
        <v>41</v>
      </c>
      <c r="F77" s="296">
        <v>5.5</v>
      </c>
      <c r="G77" s="31">
        <v>17</v>
      </c>
      <c r="H77" s="31">
        <v>-90</v>
      </c>
      <c r="I77" s="6">
        <v>18</v>
      </c>
      <c r="J77" s="31">
        <v>16.5</v>
      </c>
      <c r="K77" s="100">
        <v>-83</v>
      </c>
      <c r="L77" s="470"/>
      <c r="M77" s="471"/>
      <c r="N77" s="471"/>
      <c r="O77" s="470"/>
      <c r="P77" s="471"/>
      <c r="Q77" s="684"/>
      <c r="R77" s="31">
        <v>9</v>
      </c>
      <c r="S77" s="31">
        <v>17</v>
      </c>
      <c r="T77" s="31">
        <v>-86</v>
      </c>
      <c r="U77" s="30">
        <v>18</v>
      </c>
      <c r="V77" s="109">
        <v>16</v>
      </c>
      <c r="W77" s="95">
        <v>-83</v>
      </c>
      <c r="X77" s="470"/>
      <c r="Y77" s="471"/>
      <c r="Z77" s="471"/>
      <c r="AA77" s="470"/>
      <c r="AB77" s="471"/>
      <c r="AC77" s="472"/>
      <c r="AD77" s="470"/>
      <c r="AE77" s="471"/>
      <c r="AF77" s="471"/>
      <c r="AG77" s="470"/>
      <c r="AH77" s="471"/>
      <c r="AI77" s="472"/>
      <c r="AJ77" s="470"/>
      <c r="AK77" s="471"/>
      <c r="AL77" s="471"/>
      <c r="AM77" s="470"/>
      <c r="AN77" s="471"/>
      <c r="AO77" s="472"/>
      <c r="AP77" s="470"/>
      <c r="AQ77" s="471"/>
      <c r="AR77" s="471"/>
      <c r="AS77" s="470"/>
      <c r="AT77" s="471"/>
      <c r="AU77" s="472"/>
      <c r="AV77" s="470"/>
      <c r="AW77" s="471"/>
      <c r="AX77" s="471"/>
      <c r="AY77" s="470"/>
      <c r="AZ77" s="471"/>
      <c r="BA77" s="472"/>
      <c r="BB77" s="39">
        <v>9</v>
      </c>
      <c r="BC77" s="31">
        <v>17</v>
      </c>
      <c r="BD77" s="31">
        <v>-86</v>
      </c>
      <c r="BE77" s="30">
        <v>18</v>
      </c>
      <c r="BF77" s="109">
        <v>16</v>
      </c>
      <c r="BG77" s="95">
        <v>-83</v>
      </c>
      <c r="BH77" s="470"/>
      <c r="BI77" s="471"/>
      <c r="BJ77" s="471"/>
      <c r="BK77" s="470"/>
      <c r="BL77" s="471"/>
      <c r="BM77" s="472"/>
      <c r="BN77" s="470"/>
      <c r="BO77" s="471"/>
      <c r="BP77" s="471"/>
      <c r="BQ77" s="470"/>
      <c r="BR77" s="471"/>
      <c r="BS77" s="472"/>
      <c r="BT77" s="470"/>
      <c r="BU77" s="471"/>
      <c r="BV77" s="471"/>
      <c r="BW77" s="470"/>
      <c r="BX77" s="471"/>
      <c r="BY77" s="472"/>
      <c r="BZ77" s="470"/>
      <c r="CA77" s="471"/>
      <c r="CB77" s="471"/>
      <c r="CC77" s="470"/>
      <c r="CD77" s="471"/>
      <c r="CE77" s="472"/>
      <c r="CF77" s="470"/>
      <c r="CG77" s="471"/>
      <c r="CH77" s="471"/>
      <c r="CI77" s="470"/>
      <c r="CJ77" s="471"/>
      <c r="CK77" s="472"/>
    </row>
    <row r="78" spans="5:89" x14ac:dyDescent="0.2">
      <c r="E78" s="31"/>
      <c r="F78" s="297">
        <v>6</v>
      </c>
      <c r="G78" s="31">
        <v>17</v>
      </c>
      <c r="H78" s="31">
        <v>-87</v>
      </c>
      <c r="I78" s="6">
        <v>24</v>
      </c>
      <c r="J78" s="31">
        <v>16.5</v>
      </c>
      <c r="K78" s="100">
        <v>-82</v>
      </c>
      <c r="L78" s="470"/>
      <c r="M78" s="471"/>
      <c r="N78" s="471"/>
      <c r="O78" s="470"/>
      <c r="P78" s="471"/>
      <c r="Q78" s="684"/>
      <c r="R78" s="31">
        <v>12</v>
      </c>
      <c r="S78" s="31">
        <v>17</v>
      </c>
      <c r="T78" s="31">
        <v>-84</v>
      </c>
      <c r="U78" s="30">
        <v>24</v>
      </c>
      <c r="V78" s="109">
        <v>16</v>
      </c>
      <c r="W78" s="95">
        <v>-81</v>
      </c>
      <c r="X78" s="470"/>
      <c r="Y78" s="471"/>
      <c r="Z78" s="471"/>
      <c r="AA78" s="470"/>
      <c r="AB78" s="471"/>
      <c r="AC78" s="472"/>
      <c r="AD78" s="470"/>
      <c r="AE78" s="471"/>
      <c r="AF78" s="471"/>
      <c r="AG78" s="470"/>
      <c r="AH78" s="471"/>
      <c r="AI78" s="472"/>
      <c r="AJ78" s="470"/>
      <c r="AK78" s="471"/>
      <c r="AL78" s="471"/>
      <c r="AM78" s="470"/>
      <c r="AN78" s="471"/>
      <c r="AO78" s="472"/>
      <c r="AP78" s="470"/>
      <c r="AQ78" s="471"/>
      <c r="AR78" s="471"/>
      <c r="AS78" s="470"/>
      <c r="AT78" s="471"/>
      <c r="AU78" s="472"/>
      <c r="AV78" s="470"/>
      <c r="AW78" s="471"/>
      <c r="AX78" s="471"/>
      <c r="AY78" s="470"/>
      <c r="AZ78" s="471"/>
      <c r="BA78" s="472"/>
      <c r="BB78" s="39">
        <v>12</v>
      </c>
      <c r="BC78" s="31">
        <v>17</v>
      </c>
      <c r="BD78" s="31">
        <v>-84</v>
      </c>
      <c r="BE78" s="30">
        <v>24</v>
      </c>
      <c r="BF78" s="109">
        <v>16</v>
      </c>
      <c r="BG78" s="95">
        <v>-81</v>
      </c>
      <c r="BH78" s="470"/>
      <c r="BI78" s="471"/>
      <c r="BJ78" s="471"/>
      <c r="BK78" s="470"/>
      <c r="BL78" s="471"/>
      <c r="BM78" s="472"/>
      <c r="BN78" s="470"/>
      <c r="BO78" s="471"/>
      <c r="BP78" s="471"/>
      <c r="BQ78" s="470"/>
      <c r="BR78" s="471"/>
      <c r="BS78" s="472"/>
      <c r="BT78" s="470"/>
      <c r="BU78" s="471"/>
      <c r="BV78" s="471"/>
      <c r="BW78" s="470"/>
      <c r="BX78" s="471"/>
      <c r="BY78" s="472"/>
      <c r="BZ78" s="470"/>
      <c r="CA78" s="471"/>
      <c r="CB78" s="471"/>
      <c r="CC78" s="470"/>
      <c r="CD78" s="471"/>
      <c r="CE78" s="472"/>
      <c r="CF78" s="470"/>
      <c r="CG78" s="471"/>
      <c r="CH78" s="471"/>
      <c r="CI78" s="470"/>
      <c r="CJ78" s="471"/>
      <c r="CK78" s="472"/>
    </row>
    <row r="79" spans="5:89" x14ac:dyDescent="0.2">
      <c r="E79" s="31"/>
      <c r="F79" s="297">
        <v>9</v>
      </c>
      <c r="G79" s="31">
        <v>17</v>
      </c>
      <c r="H79" s="31">
        <v>-86</v>
      </c>
      <c r="I79" s="6">
        <v>36</v>
      </c>
      <c r="J79" s="31">
        <v>16.5</v>
      </c>
      <c r="K79" s="100">
        <v>-81</v>
      </c>
      <c r="L79" s="470"/>
      <c r="M79" s="471"/>
      <c r="N79" s="471"/>
      <c r="O79" s="470"/>
      <c r="P79" s="471"/>
      <c r="Q79" s="684"/>
      <c r="R79" s="31">
        <v>18</v>
      </c>
      <c r="S79" s="31">
        <v>17</v>
      </c>
      <c r="T79" s="31">
        <v>-83</v>
      </c>
      <c r="U79" s="30">
        <v>36</v>
      </c>
      <c r="V79" s="109">
        <v>16</v>
      </c>
      <c r="W79" s="95">
        <v>-80</v>
      </c>
      <c r="X79" s="470"/>
      <c r="Y79" s="471"/>
      <c r="Z79" s="471"/>
      <c r="AA79" s="470"/>
      <c r="AB79" s="471"/>
      <c r="AC79" s="472"/>
      <c r="AD79" s="470"/>
      <c r="AE79" s="471"/>
      <c r="AF79" s="471"/>
      <c r="AG79" s="470"/>
      <c r="AH79" s="471"/>
      <c r="AI79" s="472"/>
      <c r="AJ79" s="470"/>
      <c r="AK79" s="471"/>
      <c r="AL79" s="471"/>
      <c r="AM79" s="470"/>
      <c r="AN79" s="471"/>
      <c r="AO79" s="472"/>
      <c r="AP79" s="470"/>
      <c r="AQ79" s="471"/>
      <c r="AR79" s="471"/>
      <c r="AS79" s="470"/>
      <c r="AT79" s="471"/>
      <c r="AU79" s="472"/>
      <c r="AV79" s="470"/>
      <c r="AW79" s="471"/>
      <c r="AX79" s="471"/>
      <c r="AY79" s="470"/>
      <c r="AZ79" s="471"/>
      <c r="BA79" s="472"/>
      <c r="BB79" s="39">
        <v>18</v>
      </c>
      <c r="BC79" s="31">
        <v>17</v>
      </c>
      <c r="BD79" s="31">
        <v>-83</v>
      </c>
      <c r="BE79" s="30">
        <v>36</v>
      </c>
      <c r="BF79" s="109">
        <v>16</v>
      </c>
      <c r="BG79" s="95">
        <v>-80</v>
      </c>
      <c r="BH79" s="470"/>
      <c r="BI79" s="471"/>
      <c r="BJ79" s="471"/>
      <c r="BK79" s="470"/>
      <c r="BL79" s="471"/>
      <c r="BM79" s="472"/>
      <c r="BN79" s="470"/>
      <c r="BO79" s="471"/>
      <c r="BP79" s="471"/>
      <c r="BQ79" s="470"/>
      <c r="BR79" s="471"/>
      <c r="BS79" s="472"/>
      <c r="BT79" s="470"/>
      <c r="BU79" s="471"/>
      <c r="BV79" s="471"/>
      <c r="BW79" s="470"/>
      <c r="BX79" s="471"/>
      <c r="BY79" s="472"/>
      <c r="BZ79" s="470"/>
      <c r="CA79" s="471"/>
      <c r="CB79" s="471"/>
      <c r="CC79" s="470"/>
      <c r="CD79" s="471"/>
      <c r="CE79" s="472"/>
      <c r="CF79" s="470"/>
      <c r="CG79" s="471"/>
      <c r="CH79" s="471"/>
      <c r="CI79" s="470"/>
      <c r="CJ79" s="471"/>
      <c r="CK79" s="472"/>
    </row>
    <row r="80" spans="5:89" x14ac:dyDescent="0.2">
      <c r="E80" s="31"/>
      <c r="F80" s="297">
        <v>11</v>
      </c>
      <c r="G80" s="31">
        <v>17</v>
      </c>
      <c r="H80" s="31">
        <v>-86</v>
      </c>
      <c r="I80" s="6">
        <v>48</v>
      </c>
      <c r="J80" s="31">
        <v>16.5</v>
      </c>
      <c r="K80" s="100">
        <v>-78</v>
      </c>
      <c r="L80" s="470"/>
      <c r="M80" s="471"/>
      <c r="N80" s="471"/>
      <c r="O80" s="470"/>
      <c r="P80" s="471"/>
      <c r="Q80" s="684"/>
      <c r="R80" s="31">
        <v>24</v>
      </c>
      <c r="S80" s="31">
        <v>17</v>
      </c>
      <c r="T80" s="31">
        <v>-80</v>
      </c>
      <c r="U80" s="30">
        <v>48</v>
      </c>
      <c r="V80" s="109">
        <v>16</v>
      </c>
      <c r="W80" s="95">
        <v>-77</v>
      </c>
      <c r="X80" s="470"/>
      <c r="Y80" s="471"/>
      <c r="Z80" s="471"/>
      <c r="AA80" s="470"/>
      <c r="AB80" s="471"/>
      <c r="AC80" s="472"/>
      <c r="AD80" s="470"/>
      <c r="AE80" s="471"/>
      <c r="AF80" s="471"/>
      <c r="AG80" s="470"/>
      <c r="AH80" s="471"/>
      <c r="AI80" s="472"/>
      <c r="AJ80" s="470"/>
      <c r="AK80" s="471"/>
      <c r="AL80" s="471"/>
      <c r="AM80" s="470"/>
      <c r="AN80" s="471"/>
      <c r="AO80" s="472"/>
      <c r="AP80" s="470"/>
      <c r="AQ80" s="471"/>
      <c r="AR80" s="471"/>
      <c r="AS80" s="470"/>
      <c r="AT80" s="471"/>
      <c r="AU80" s="472"/>
      <c r="AV80" s="470"/>
      <c r="AW80" s="471"/>
      <c r="AX80" s="471"/>
      <c r="AY80" s="470"/>
      <c r="AZ80" s="471"/>
      <c r="BA80" s="472"/>
      <c r="BB80" s="39">
        <v>24</v>
      </c>
      <c r="BC80" s="31">
        <v>17</v>
      </c>
      <c r="BD80" s="31">
        <v>-80</v>
      </c>
      <c r="BE80" s="30">
        <v>48</v>
      </c>
      <c r="BF80" s="109">
        <v>16</v>
      </c>
      <c r="BG80" s="95">
        <v>-77</v>
      </c>
      <c r="BH80" s="470"/>
      <c r="BI80" s="471"/>
      <c r="BJ80" s="471"/>
      <c r="BK80" s="470"/>
      <c r="BL80" s="471"/>
      <c r="BM80" s="472"/>
      <c r="BN80" s="470"/>
      <c r="BO80" s="471"/>
      <c r="BP80" s="471"/>
      <c r="BQ80" s="470"/>
      <c r="BR80" s="471"/>
      <c r="BS80" s="472"/>
      <c r="BT80" s="470"/>
      <c r="BU80" s="471"/>
      <c r="BV80" s="471"/>
      <c r="BW80" s="470"/>
      <c r="BX80" s="471"/>
      <c r="BY80" s="472"/>
      <c r="BZ80" s="470"/>
      <c r="CA80" s="471"/>
      <c r="CB80" s="471"/>
      <c r="CC80" s="470"/>
      <c r="CD80" s="471"/>
      <c r="CE80" s="472"/>
      <c r="CF80" s="470"/>
      <c r="CG80" s="471"/>
      <c r="CH80" s="471"/>
      <c r="CI80" s="470"/>
      <c r="CJ80" s="471"/>
      <c r="CK80" s="472"/>
    </row>
    <row r="81" spans="5:89" x14ac:dyDescent="0.2">
      <c r="E81" s="31"/>
      <c r="F81" s="297">
        <v>12</v>
      </c>
      <c r="G81" s="47">
        <v>17</v>
      </c>
      <c r="H81" s="31">
        <v>-85</v>
      </c>
      <c r="I81" s="6">
        <v>72</v>
      </c>
      <c r="J81" s="31">
        <v>15.5</v>
      </c>
      <c r="K81" s="100">
        <v>-74</v>
      </c>
      <c r="L81" s="470"/>
      <c r="M81" s="471"/>
      <c r="N81" s="471"/>
      <c r="O81" s="470"/>
      <c r="P81" s="471"/>
      <c r="Q81" s="684"/>
      <c r="R81" s="31">
        <v>36</v>
      </c>
      <c r="S81" s="31">
        <v>16</v>
      </c>
      <c r="T81" s="31">
        <v>-77</v>
      </c>
      <c r="U81" s="30">
        <v>72</v>
      </c>
      <c r="V81" s="109">
        <v>15</v>
      </c>
      <c r="W81" s="10">
        <v>-74</v>
      </c>
      <c r="X81" s="470"/>
      <c r="Y81" s="471"/>
      <c r="Z81" s="471"/>
      <c r="AA81" s="470"/>
      <c r="AB81" s="471"/>
      <c r="AC81" s="472"/>
      <c r="AD81" s="470"/>
      <c r="AE81" s="471"/>
      <c r="AF81" s="471"/>
      <c r="AG81" s="470"/>
      <c r="AH81" s="471"/>
      <c r="AI81" s="472"/>
      <c r="AJ81" s="470"/>
      <c r="AK81" s="471"/>
      <c r="AL81" s="471"/>
      <c r="AM81" s="470"/>
      <c r="AN81" s="471"/>
      <c r="AO81" s="472"/>
      <c r="AP81" s="470"/>
      <c r="AQ81" s="471"/>
      <c r="AR81" s="471"/>
      <c r="AS81" s="470"/>
      <c r="AT81" s="471"/>
      <c r="AU81" s="472"/>
      <c r="AV81" s="470"/>
      <c r="AW81" s="471"/>
      <c r="AX81" s="471"/>
      <c r="AY81" s="470"/>
      <c r="AZ81" s="471"/>
      <c r="BA81" s="472"/>
      <c r="BB81" s="39">
        <v>36</v>
      </c>
      <c r="BC81" s="31">
        <v>16</v>
      </c>
      <c r="BD81" s="31">
        <v>-77</v>
      </c>
      <c r="BE81" s="30">
        <v>72</v>
      </c>
      <c r="BF81" s="109">
        <v>15</v>
      </c>
      <c r="BG81" s="10">
        <v>-74</v>
      </c>
      <c r="BH81" s="470"/>
      <c r="BI81" s="471"/>
      <c r="BJ81" s="471"/>
      <c r="BK81" s="470"/>
      <c r="BL81" s="471"/>
      <c r="BM81" s="472"/>
      <c r="BN81" s="470"/>
      <c r="BO81" s="471"/>
      <c r="BP81" s="471"/>
      <c r="BQ81" s="470"/>
      <c r="BR81" s="471"/>
      <c r="BS81" s="472"/>
      <c r="BT81" s="470"/>
      <c r="BU81" s="471"/>
      <c r="BV81" s="471"/>
      <c r="BW81" s="470"/>
      <c r="BX81" s="471"/>
      <c r="BY81" s="472"/>
      <c r="BZ81" s="470"/>
      <c r="CA81" s="471"/>
      <c r="CB81" s="471"/>
      <c r="CC81" s="470"/>
      <c r="CD81" s="471"/>
      <c r="CE81" s="472"/>
      <c r="CF81" s="470"/>
      <c r="CG81" s="471"/>
      <c r="CH81" s="471"/>
      <c r="CI81" s="470"/>
      <c r="CJ81" s="471"/>
      <c r="CK81" s="472"/>
    </row>
    <row r="82" spans="5:89" x14ac:dyDescent="0.2">
      <c r="E82" s="31"/>
      <c r="F82" s="297">
        <v>18</v>
      </c>
      <c r="G82" s="47">
        <v>17</v>
      </c>
      <c r="H82" s="31">
        <v>-83</v>
      </c>
      <c r="I82" s="6">
        <v>96</v>
      </c>
      <c r="J82" s="31">
        <v>14.5</v>
      </c>
      <c r="K82" s="100">
        <v>-70</v>
      </c>
      <c r="L82" s="470"/>
      <c r="M82" s="471"/>
      <c r="N82" s="471"/>
      <c r="O82" s="470"/>
      <c r="P82" s="471"/>
      <c r="Q82" s="684"/>
      <c r="R82" s="31">
        <v>48</v>
      </c>
      <c r="S82" s="31">
        <v>15</v>
      </c>
      <c r="T82" s="31">
        <v>-72</v>
      </c>
      <c r="U82" s="30">
        <v>96</v>
      </c>
      <c r="V82" s="109">
        <v>14</v>
      </c>
      <c r="W82" s="10">
        <v>-69</v>
      </c>
      <c r="X82" s="470"/>
      <c r="Y82" s="471"/>
      <c r="Z82" s="471"/>
      <c r="AA82" s="470"/>
      <c r="AB82" s="471"/>
      <c r="AC82" s="472"/>
      <c r="AD82" s="470"/>
      <c r="AE82" s="471"/>
      <c r="AF82" s="471"/>
      <c r="AG82" s="470"/>
      <c r="AH82" s="471"/>
      <c r="AI82" s="472"/>
      <c r="AJ82" s="470"/>
      <c r="AK82" s="471"/>
      <c r="AL82" s="471"/>
      <c r="AM82" s="470"/>
      <c r="AN82" s="471"/>
      <c r="AO82" s="472"/>
      <c r="AP82" s="470"/>
      <c r="AQ82" s="471"/>
      <c r="AR82" s="471"/>
      <c r="AS82" s="470"/>
      <c r="AT82" s="471"/>
      <c r="AU82" s="472"/>
      <c r="AV82" s="470"/>
      <c r="AW82" s="471"/>
      <c r="AX82" s="471"/>
      <c r="AY82" s="470"/>
      <c r="AZ82" s="471"/>
      <c r="BA82" s="472"/>
      <c r="BB82" s="39">
        <v>48</v>
      </c>
      <c r="BC82" s="31">
        <v>15</v>
      </c>
      <c r="BD82" s="31">
        <v>-72</v>
      </c>
      <c r="BE82" s="30">
        <v>96</v>
      </c>
      <c r="BF82" s="109">
        <v>14</v>
      </c>
      <c r="BG82" s="10">
        <v>-69</v>
      </c>
      <c r="BH82" s="470"/>
      <c r="BI82" s="471"/>
      <c r="BJ82" s="471"/>
      <c r="BK82" s="470"/>
      <c r="BL82" s="471"/>
      <c r="BM82" s="472"/>
      <c r="BN82" s="470"/>
      <c r="BO82" s="471"/>
      <c r="BP82" s="471"/>
      <c r="BQ82" s="470"/>
      <c r="BR82" s="471"/>
      <c r="BS82" s="472"/>
      <c r="BT82" s="470"/>
      <c r="BU82" s="471"/>
      <c r="BV82" s="471"/>
      <c r="BW82" s="470"/>
      <c r="BX82" s="471"/>
      <c r="BY82" s="472"/>
      <c r="BZ82" s="470"/>
      <c r="CA82" s="471"/>
      <c r="CB82" s="471"/>
      <c r="CC82" s="470"/>
      <c r="CD82" s="471"/>
      <c r="CE82" s="472"/>
      <c r="CF82" s="470"/>
      <c r="CG82" s="471"/>
      <c r="CH82" s="471"/>
      <c r="CI82" s="470"/>
      <c r="CJ82" s="471"/>
      <c r="CK82" s="472"/>
    </row>
    <row r="83" spans="5:89" x14ac:dyDescent="0.2">
      <c r="E83" s="31"/>
      <c r="F83" s="297">
        <v>24</v>
      </c>
      <c r="G83" s="47">
        <v>17</v>
      </c>
      <c r="H83" s="31">
        <v>-81</v>
      </c>
      <c r="I83" s="6">
        <v>108</v>
      </c>
      <c r="J83" s="31">
        <v>13.5</v>
      </c>
      <c r="K83" s="100">
        <v>-65</v>
      </c>
      <c r="L83" s="470"/>
      <c r="M83" s="471"/>
      <c r="N83" s="471"/>
      <c r="O83" s="470"/>
      <c r="P83" s="471"/>
      <c r="Q83" s="684"/>
      <c r="R83" s="31">
        <v>54</v>
      </c>
      <c r="S83" s="31">
        <v>13</v>
      </c>
      <c r="T83" s="31">
        <v>-67</v>
      </c>
      <c r="U83" s="30">
        <v>108</v>
      </c>
      <c r="V83" s="109">
        <v>12</v>
      </c>
      <c r="W83" s="10">
        <v>-64</v>
      </c>
      <c r="X83" s="470"/>
      <c r="Y83" s="471"/>
      <c r="Z83" s="471"/>
      <c r="AA83" s="470"/>
      <c r="AB83" s="471"/>
      <c r="AC83" s="472"/>
      <c r="AD83" s="470"/>
      <c r="AE83" s="471"/>
      <c r="AF83" s="471"/>
      <c r="AG83" s="470"/>
      <c r="AH83" s="471"/>
      <c r="AI83" s="472"/>
      <c r="AJ83" s="470"/>
      <c r="AK83" s="471"/>
      <c r="AL83" s="471"/>
      <c r="AM83" s="470"/>
      <c r="AN83" s="471"/>
      <c r="AO83" s="472"/>
      <c r="AP83" s="470"/>
      <c r="AQ83" s="471"/>
      <c r="AR83" s="471"/>
      <c r="AS83" s="470"/>
      <c r="AT83" s="471"/>
      <c r="AU83" s="472"/>
      <c r="AV83" s="470"/>
      <c r="AW83" s="471"/>
      <c r="AX83" s="471"/>
      <c r="AY83" s="470"/>
      <c r="AZ83" s="471"/>
      <c r="BA83" s="472"/>
      <c r="BB83" s="39">
        <v>54</v>
      </c>
      <c r="BC83" s="31">
        <v>13</v>
      </c>
      <c r="BD83" s="31">
        <v>-67</v>
      </c>
      <c r="BE83" s="30">
        <v>108</v>
      </c>
      <c r="BF83" s="109">
        <v>12</v>
      </c>
      <c r="BG83" s="10">
        <v>-64</v>
      </c>
      <c r="BH83" s="470"/>
      <c r="BI83" s="471"/>
      <c r="BJ83" s="471"/>
      <c r="BK83" s="470"/>
      <c r="BL83" s="471"/>
      <c r="BM83" s="472"/>
      <c r="BN83" s="470"/>
      <c r="BO83" s="471"/>
      <c r="BP83" s="471"/>
      <c r="BQ83" s="470"/>
      <c r="BR83" s="471"/>
      <c r="BS83" s="472"/>
      <c r="BT83" s="470"/>
      <c r="BU83" s="471"/>
      <c r="BV83" s="471"/>
      <c r="BW83" s="470"/>
      <c r="BX83" s="471"/>
      <c r="BY83" s="472"/>
      <c r="BZ83" s="470"/>
      <c r="CA83" s="471"/>
      <c r="CB83" s="471"/>
      <c r="CC83" s="470"/>
      <c r="CD83" s="471"/>
      <c r="CE83" s="472"/>
      <c r="CF83" s="470"/>
      <c r="CG83" s="471"/>
      <c r="CH83" s="471"/>
      <c r="CI83" s="470"/>
      <c r="CJ83" s="471"/>
      <c r="CK83" s="472"/>
    </row>
    <row r="84" spans="5:89" x14ac:dyDescent="0.2">
      <c r="E84" s="31"/>
      <c r="F84" s="297">
        <v>36</v>
      </c>
      <c r="G84" s="47">
        <v>16</v>
      </c>
      <c r="H84" s="31">
        <v>-77</v>
      </c>
      <c r="I84" s="6"/>
      <c r="J84" s="2"/>
      <c r="K84" s="10"/>
      <c r="L84" s="470"/>
      <c r="M84" s="471"/>
      <c r="N84" s="471"/>
      <c r="O84" s="470"/>
      <c r="P84" s="471"/>
      <c r="Q84" s="684"/>
      <c r="R84" s="2"/>
      <c r="S84" s="24"/>
      <c r="T84" s="24"/>
      <c r="U84" s="30"/>
      <c r="V84" s="2"/>
      <c r="W84" s="10"/>
      <c r="X84" s="470"/>
      <c r="Y84" s="471"/>
      <c r="Z84" s="471"/>
      <c r="AA84" s="470"/>
      <c r="AB84" s="471"/>
      <c r="AC84" s="472"/>
      <c r="AD84" s="470"/>
      <c r="AE84" s="471"/>
      <c r="AF84" s="471"/>
      <c r="AG84" s="470"/>
      <c r="AH84" s="471"/>
      <c r="AI84" s="472"/>
      <c r="AJ84" s="470"/>
      <c r="AK84" s="471"/>
      <c r="AL84" s="471"/>
      <c r="AM84" s="470"/>
      <c r="AN84" s="471"/>
      <c r="AO84" s="472"/>
      <c r="AP84" s="470"/>
      <c r="AQ84" s="471"/>
      <c r="AR84" s="471"/>
      <c r="AS84" s="470"/>
      <c r="AT84" s="471"/>
      <c r="AU84" s="472"/>
      <c r="AV84" s="470"/>
      <c r="AW84" s="471"/>
      <c r="AX84" s="471"/>
      <c r="AY84" s="470"/>
      <c r="AZ84" s="471"/>
      <c r="BA84" s="472"/>
      <c r="BB84" s="6"/>
      <c r="BC84" s="24"/>
      <c r="BD84" s="24"/>
      <c r="BE84" s="30"/>
      <c r="BF84" s="2"/>
      <c r="BG84" s="10"/>
      <c r="BH84" s="470"/>
      <c r="BI84" s="471"/>
      <c r="BJ84" s="471"/>
      <c r="BK84" s="470"/>
      <c r="BL84" s="471"/>
      <c r="BM84" s="472"/>
      <c r="BN84" s="470"/>
      <c r="BO84" s="471"/>
      <c r="BP84" s="471"/>
      <c r="BQ84" s="470"/>
      <c r="BR84" s="471"/>
      <c r="BS84" s="472"/>
      <c r="BT84" s="470"/>
      <c r="BU84" s="471"/>
      <c r="BV84" s="471"/>
      <c r="BW84" s="470"/>
      <c r="BX84" s="471"/>
      <c r="BY84" s="472"/>
      <c r="BZ84" s="470"/>
      <c r="CA84" s="471"/>
      <c r="CB84" s="471"/>
      <c r="CC84" s="470"/>
      <c r="CD84" s="471"/>
      <c r="CE84" s="472"/>
      <c r="CF84" s="470"/>
      <c r="CG84" s="471"/>
      <c r="CH84" s="471"/>
      <c r="CI84" s="470"/>
      <c r="CJ84" s="471"/>
      <c r="CK84" s="472"/>
    </row>
    <row r="85" spans="5:89" x14ac:dyDescent="0.2">
      <c r="E85" s="31"/>
      <c r="F85" s="297">
        <v>48</v>
      </c>
      <c r="G85" s="47">
        <v>15</v>
      </c>
      <c r="H85" s="31">
        <v>-73</v>
      </c>
      <c r="I85" s="6"/>
      <c r="J85" s="2"/>
      <c r="K85" s="10"/>
      <c r="L85" s="470"/>
      <c r="M85" s="471"/>
      <c r="N85" s="471"/>
      <c r="O85" s="470"/>
      <c r="P85" s="471"/>
      <c r="Q85" s="684"/>
      <c r="R85" s="2"/>
      <c r="S85" s="31"/>
      <c r="T85" s="31"/>
      <c r="U85" s="39"/>
      <c r="V85" s="2"/>
      <c r="W85" s="10"/>
      <c r="X85" s="470"/>
      <c r="Y85" s="471"/>
      <c r="Z85" s="471"/>
      <c r="AA85" s="470"/>
      <c r="AB85" s="471"/>
      <c r="AC85" s="472"/>
      <c r="AD85" s="470"/>
      <c r="AE85" s="471"/>
      <c r="AF85" s="471"/>
      <c r="AG85" s="470"/>
      <c r="AH85" s="471"/>
      <c r="AI85" s="472"/>
      <c r="AJ85" s="470"/>
      <c r="AK85" s="471"/>
      <c r="AL85" s="471"/>
      <c r="AM85" s="470"/>
      <c r="AN85" s="471"/>
      <c r="AO85" s="472"/>
      <c r="AP85" s="470"/>
      <c r="AQ85" s="471"/>
      <c r="AR85" s="471"/>
      <c r="AS85" s="470"/>
      <c r="AT85" s="471"/>
      <c r="AU85" s="472"/>
      <c r="AV85" s="470"/>
      <c r="AW85" s="471"/>
      <c r="AX85" s="471"/>
      <c r="AY85" s="470"/>
      <c r="AZ85" s="471"/>
      <c r="BA85" s="472"/>
      <c r="BB85" s="6"/>
      <c r="BC85" s="31"/>
      <c r="BD85" s="31"/>
      <c r="BE85" s="39"/>
      <c r="BF85" s="2"/>
      <c r="BG85" s="10"/>
      <c r="BH85" s="470"/>
      <c r="BI85" s="471"/>
      <c r="BJ85" s="471"/>
      <c r="BK85" s="470"/>
      <c r="BL85" s="471"/>
      <c r="BM85" s="472"/>
      <c r="BN85" s="470"/>
      <c r="BO85" s="471"/>
      <c r="BP85" s="471"/>
      <c r="BQ85" s="470"/>
      <c r="BR85" s="471"/>
      <c r="BS85" s="472"/>
      <c r="BT85" s="470"/>
      <c r="BU85" s="471"/>
      <c r="BV85" s="471"/>
      <c r="BW85" s="470"/>
      <c r="BX85" s="471"/>
      <c r="BY85" s="472"/>
      <c r="BZ85" s="470"/>
      <c r="CA85" s="471"/>
      <c r="CB85" s="471"/>
      <c r="CC85" s="470"/>
      <c r="CD85" s="471"/>
      <c r="CE85" s="472"/>
      <c r="CF85" s="470"/>
      <c r="CG85" s="471"/>
      <c r="CH85" s="471"/>
      <c r="CI85" s="470"/>
      <c r="CJ85" s="471"/>
      <c r="CK85" s="472"/>
    </row>
    <row r="86" spans="5:89" ht="10.5" thickBot="1" x14ac:dyDescent="0.25">
      <c r="E86" s="31"/>
      <c r="F86" s="298">
        <v>54</v>
      </c>
      <c r="G86" s="303">
        <v>14.5</v>
      </c>
      <c r="H86" s="303">
        <v>-68</v>
      </c>
      <c r="I86" s="300"/>
      <c r="J86" s="55"/>
      <c r="K86" s="309"/>
      <c r="L86" s="473"/>
      <c r="M86" s="474"/>
      <c r="N86" s="474"/>
      <c r="O86" s="473"/>
      <c r="P86" s="474"/>
      <c r="Q86" s="685"/>
      <c r="R86" s="8"/>
      <c r="S86" s="41"/>
      <c r="T86" s="41"/>
      <c r="U86" s="40"/>
      <c r="V86" s="8"/>
      <c r="W86" s="11"/>
      <c r="X86" s="473"/>
      <c r="Y86" s="474"/>
      <c r="Z86" s="474"/>
      <c r="AA86" s="473"/>
      <c r="AB86" s="474"/>
      <c r="AC86" s="475"/>
      <c r="AD86" s="473"/>
      <c r="AE86" s="474"/>
      <c r="AF86" s="474"/>
      <c r="AG86" s="473"/>
      <c r="AH86" s="474"/>
      <c r="AI86" s="475"/>
      <c r="AJ86" s="473"/>
      <c r="AK86" s="474"/>
      <c r="AL86" s="474"/>
      <c r="AM86" s="473"/>
      <c r="AN86" s="474"/>
      <c r="AO86" s="475"/>
      <c r="AP86" s="473"/>
      <c r="AQ86" s="474"/>
      <c r="AR86" s="474"/>
      <c r="AS86" s="473"/>
      <c r="AT86" s="474"/>
      <c r="AU86" s="475"/>
      <c r="AV86" s="473"/>
      <c r="AW86" s="474"/>
      <c r="AX86" s="474"/>
      <c r="AY86" s="473"/>
      <c r="AZ86" s="474"/>
      <c r="BA86" s="475"/>
      <c r="BB86" s="7"/>
      <c r="BC86" s="41"/>
      <c r="BD86" s="41"/>
      <c r="BE86" s="40"/>
      <c r="BF86" s="8"/>
      <c r="BG86" s="11"/>
      <c r="BH86" s="473"/>
      <c r="BI86" s="474"/>
      <c r="BJ86" s="474"/>
      <c r="BK86" s="473"/>
      <c r="BL86" s="474"/>
      <c r="BM86" s="475"/>
      <c r="BN86" s="473"/>
      <c r="BO86" s="474"/>
      <c r="BP86" s="474"/>
      <c r="BQ86" s="473"/>
      <c r="BR86" s="474"/>
      <c r="BS86" s="475"/>
      <c r="BT86" s="473"/>
      <c r="BU86" s="474"/>
      <c r="BV86" s="474"/>
      <c r="BW86" s="473"/>
      <c r="BX86" s="474"/>
      <c r="BY86" s="475"/>
      <c r="BZ86" s="473"/>
      <c r="CA86" s="474"/>
      <c r="CB86" s="474"/>
      <c r="CC86" s="473"/>
      <c r="CD86" s="474"/>
      <c r="CE86" s="475"/>
      <c r="CF86" s="473"/>
      <c r="CG86" s="474"/>
      <c r="CH86" s="474"/>
      <c r="CI86" s="473"/>
      <c r="CJ86" s="474"/>
      <c r="CK86" s="475"/>
    </row>
    <row r="87" spans="5:89" x14ac:dyDescent="0.2">
      <c r="E87" s="31"/>
      <c r="F87" s="31"/>
      <c r="G87" s="31"/>
      <c r="H87" s="31"/>
      <c r="I87" s="31"/>
      <c r="J87" s="25"/>
      <c r="K87" s="32"/>
      <c r="L87" s="32"/>
      <c r="M87" s="32"/>
      <c r="N87" s="32"/>
      <c r="O87" s="32"/>
      <c r="P87" s="32"/>
      <c r="Q87" s="32"/>
      <c r="R87" s="2"/>
      <c r="S87" s="31"/>
      <c r="T87" s="31"/>
      <c r="U87" s="31"/>
      <c r="V87" s="2"/>
      <c r="W87" s="2"/>
      <c r="X87" s="2"/>
      <c r="Y87" s="2"/>
      <c r="Z87" s="2"/>
      <c r="AA87" s="2"/>
      <c r="AB87" s="2"/>
      <c r="AC87" s="2"/>
      <c r="AJ87" s="2"/>
      <c r="AK87" s="2"/>
      <c r="AL87" s="2"/>
      <c r="AM87" s="2"/>
      <c r="AN87" s="2"/>
      <c r="AO87" s="2"/>
      <c r="AV87" s="2"/>
      <c r="AW87" s="2"/>
      <c r="AX87" s="2"/>
      <c r="AY87" s="2"/>
      <c r="AZ87" s="2"/>
      <c r="BA87" s="2"/>
      <c r="BH87" s="2"/>
      <c r="BI87" s="2"/>
      <c r="BJ87" s="2"/>
      <c r="BK87" s="2"/>
      <c r="BL87" s="2"/>
      <c r="BM87" s="2"/>
      <c r="BT87" s="2"/>
      <c r="BU87" s="2"/>
      <c r="BV87" s="2"/>
      <c r="BW87" s="2"/>
      <c r="BX87" s="2"/>
      <c r="BY87" s="2"/>
    </row>
    <row r="88" spans="5:89" ht="10.5" x14ac:dyDescent="0.25">
      <c r="E88" s="31"/>
      <c r="F88" s="26" t="s">
        <v>0</v>
      </c>
      <c r="G88" s="26"/>
      <c r="H88" s="26"/>
      <c r="I88" s="26"/>
      <c r="J88" s="26"/>
      <c r="K88" s="26"/>
      <c r="L88" s="32"/>
      <c r="M88" s="32"/>
      <c r="N88" s="32"/>
      <c r="O88" s="32"/>
      <c r="P88" s="32"/>
      <c r="Q88" s="32"/>
      <c r="R88" s="26" t="s">
        <v>1</v>
      </c>
      <c r="S88" s="25"/>
      <c r="T88" s="25"/>
      <c r="U88" s="25"/>
      <c r="X88" s="2"/>
      <c r="Y88" s="2"/>
      <c r="Z88" s="2"/>
      <c r="AA88" s="2"/>
      <c r="AB88" s="2"/>
      <c r="AC88" s="2"/>
      <c r="AD88" s="853" t="s">
        <v>410</v>
      </c>
      <c r="AE88" s="852"/>
      <c r="AF88" s="852"/>
      <c r="AG88" s="852"/>
      <c r="AJ88" s="2"/>
      <c r="AK88" s="2"/>
      <c r="AL88" s="2"/>
      <c r="AM88" s="2"/>
      <c r="AN88" s="2"/>
      <c r="AO88" s="2"/>
      <c r="AP88" s="853" t="s">
        <v>411</v>
      </c>
      <c r="AQ88" s="852"/>
      <c r="AR88" s="852"/>
      <c r="AS88" s="852"/>
      <c r="AV88" s="2"/>
      <c r="AW88" s="2"/>
      <c r="AX88" s="2"/>
      <c r="AY88" s="2"/>
      <c r="AZ88" s="2"/>
      <c r="BA88" s="2"/>
      <c r="BB88" s="44" t="s">
        <v>223</v>
      </c>
      <c r="BH88" s="2"/>
      <c r="BI88" s="2"/>
      <c r="BJ88" s="2"/>
      <c r="BK88" s="2"/>
      <c r="BL88" s="2"/>
      <c r="BM88" s="2"/>
      <c r="BN88" s="44" t="s">
        <v>351</v>
      </c>
      <c r="BT88" s="2"/>
      <c r="BU88" s="2"/>
      <c r="BV88" s="2"/>
      <c r="BW88" s="2"/>
      <c r="BX88" s="2"/>
      <c r="BY88" s="2"/>
      <c r="BZ88" s="44" t="s">
        <v>515</v>
      </c>
      <c r="CF88" s="2"/>
      <c r="CG88" s="2"/>
      <c r="CH88" s="2"/>
      <c r="CI88" s="2"/>
      <c r="CJ88" s="2"/>
      <c r="CK88" s="2"/>
    </row>
    <row r="89" spans="5:89" ht="11" thickBot="1" x14ac:dyDescent="0.3">
      <c r="E89" s="31"/>
      <c r="F89" s="26" t="s">
        <v>113</v>
      </c>
      <c r="G89" s="26" t="s">
        <v>108</v>
      </c>
      <c r="H89" s="26" t="s">
        <v>109</v>
      </c>
      <c r="I89" s="26" t="s">
        <v>110</v>
      </c>
      <c r="J89" s="26" t="s">
        <v>111</v>
      </c>
      <c r="K89" s="26" t="s">
        <v>112</v>
      </c>
      <c r="L89" s="32"/>
      <c r="M89" s="32"/>
      <c r="N89" s="32"/>
      <c r="O89" s="32"/>
      <c r="P89" s="32"/>
      <c r="Q89" s="32"/>
      <c r="R89" s="26" t="s">
        <v>113</v>
      </c>
      <c r="S89" s="159" t="s">
        <v>108</v>
      </c>
      <c r="T89" s="159" t="s">
        <v>109</v>
      </c>
      <c r="U89" s="26" t="s">
        <v>110</v>
      </c>
      <c r="V89" s="26" t="s">
        <v>111</v>
      </c>
      <c r="W89" s="26" t="s">
        <v>112</v>
      </c>
      <c r="X89" s="2"/>
      <c r="Y89" s="2"/>
      <c r="Z89" s="2"/>
      <c r="AA89" s="2"/>
      <c r="AB89" s="2"/>
      <c r="AC89" s="2"/>
      <c r="AD89" s="159" t="s">
        <v>88</v>
      </c>
      <c r="AE89" s="159" t="s">
        <v>83</v>
      </c>
      <c r="AF89" s="159" t="s">
        <v>84</v>
      </c>
      <c r="AG89" s="159" t="s">
        <v>87</v>
      </c>
      <c r="AH89" s="159" t="s">
        <v>85</v>
      </c>
      <c r="AI89" s="159" t="s">
        <v>86</v>
      </c>
      <c r="AJ89" s="2"/>
      <c r="AK89" s="2"/>
      <c r="AL89" s="2"/>
      <c r="AM89" s="2"/>
      <c r="AN89" s="2"/>
      <c r="AO89" s="2"/>
      <c r="AP89" s="159" t="s">
        <v>88</v>
      </c>
      <c r="AQ89" s="159" t="s">
        <v>83</v>
      </c>
      <c r="AR89" s="159" t="s">
        <v>84</v>
      </c>
      <c r="AS89" s="159" t="s">
        <v>87</v>
      </c>
      <c r="AT89" s="159" t="s">
        <v>85</v>
      </c>
      <c r="AU89" s="159" t="s">
        <v>86</v>
      </c>
      <c r="AV89" s="2"/>
      <c r="AW89" s="2"/>
      <c r="AX89" s="2"/>
      <c r="AY89" s="2"/>
      <c r="AZ89" s="2"/>
      <c r="BA89" s="2"/>
      <c r="BB89" s="102" t="s">
        <v>88</v>
      </c>
      <c r="BC89" s="102" t="s">
        <v>83</v>
      </c>
      <c r="BD89" s="102" t="s">
        <v>84</v>
      </c>
      <c r="BE89" s="102" t="s">
        <v>87</v>
      </c>
      <c r="BF89" s="102" t="s">
        <v>85</v>
      </c>
      <c r="BG89" s="102" t="s">
        <v>86</v>
      </c>
      <c r="BH89" s="2"/>
      <c r="BI89" s="2"/>
      <c r="BJ89" s="2"/>
      <c r="BK89" s="2"/>
      <c r="BL89" s="2"/>
      <c r="BM89" s="2"/>
      <c r="BN89" s="102" t="s">
        <v>88</v>
      </c>
      <c r="BO89" s="102" t="s">
        <v>83</v>
      </c>
      <c r="BP89" s="102" t="s">
        <v>84</v>
      </c>
      <c r="BQ89" s="102" t="s">
        <v>87</v>
      </c>
      <c r="BR89" s="102" t="s">
        <v>85</v>
      </c>
      <c r="BS89" s="102" t="s">
        <v>86</v>
      </c>
      <c r="BT89" s="2"/>
      <c r="BU89" s="2"/>
      <c r="BV89" s="2"/>
      <c r="BW89" s="2"/>
      <c r="BX89" s="2"/>
      <c r="BY89" s="2"/>
      <c r="BZ89" s="102" t="s">
        <v>88</v>
      </c>
      <c r="CA89" s="102" t="s">
        <v>83</v>
      </c>
      <c r="CB89" s="102" t="s">
        <v>84</v>
      </c>
      <c r="CC89" s="102" t="s">
        <v>87</v>
      </c>
      <c r="CD89" s="102" t="s">
        <v>85</v>
      </c>
      <c r="CE89" s="102" t="s">
        <v>86</v>
      </c>
      <c r="CF89" s="102" t="s">
        <v>512</v>
      </c>
      <c r="CG89" s="102" t="s">
        <v>514</v>
      </c>
      <c r="CH89" s="102" t="s">
        <v>513</v>
      </c>
      <c r="CI89" s="102" t="s">
        <v>516</v>
      </c>
      <c r="CJ89" s="102" t="s">
        <v>517</v>
      </c>
      <c r="CK89" s="102" t="s">
        <v>518</v>
      </c>
    </row>
    <row r="90" spans="5:89" x14ac:dyDescent="0.2">
      <c r="E90" s="31" t="s">
        <v>30</v>
      </c>
      <c r="F90" s="310">
        <v>1</v>
      </c>
      <c r="G90" s="311">
        <v>18</v>
      </c>
      <c r="H90" s="311">
        <v>-93</v>
      </c>
      <c r="I90" s="295">
        <v>12</v>
      </c>
      <c r="J90" s="312">
        <v>17</v>
      </c>
      <c r="K90" s="687">
        <v>-84</v>
      </c>
      <c r="L90" s="467"/>
      <c r="M90" s="468"/>
      <c r="N90" s="468"/>
      <c r="O90" s="467"/>
      <c r="P90" s="468"/>
      <c r="Q90" s="683"/>
      <c r="R90" s="680"/>
      <c r="S90" s="468"/>
      <c r="T90" s="468"/>
      <c r="U90" s="467"/>
      <c r="V90" s="468"/>
      <c r="W90" s="469"/>
      <c r="X90" s="467"/>
      <c r="Y90" s="468"/>
      <c r="Z90" s="468"/>
      <c r="AA90" s="467"/>
      <c r="AB90" s="468"/>
      <c r="AC90" s="469"/>
      <c r="AD90" s="467"/>
      <c r="AE90" s="468"/>
      <c r="AF90" s="468"/>
      <c r="AG90" s="467"/>
      <c r="AH90" s="468"/>
      <c r="AI90" s="469"/>
      <c r="AJ90" s="467"/>
      <c r="AK90" s="468"/>
      <c r="AL90" s="468"/>
      <c r="AM90" s="467"/>
      <c r="AN90" s="468"/>
      <c r="AO90" s="469"/>
      <c r="AP90" s="467"/>
      <c r="AQ90" s="468"/>
      <c r="AR90" s="468"/>
      <c r="AS90" s="467"/>
      <c r="AT90" s="468"/>
      <c r="AU90" s="469"/>
      <c r="AV90" s="467"/>
      <c r="AW90" s="468"/>
      <c r="AX90" s="468"/>
      <c r="AY90" s="467"/>
      <c r="AZ90" s="468"/>
      <c r="BA90" s="469"/>
      <c r="BB90" s="467"/>
      <c r="BC90" s="468"/>
      <c r="BD90" s="468"/>
      <c r="BE90" s="467"/>
      <c r="BF90" s="468"/>
      <c r="BG90" s="469"/>
      <c r="BH90" s="467"/>
      <c r="BI90" s="468"/>
      <c r="BJ90" s="468"/>
      <c r="BK90" s="467"/>
      <c r="BL90" s="468"/>
      <c r="BM90" s="469"/>
      <c r="BN90" s="467"/>
      <c r="BO90" s="468"/>
      <c r="BP90" s="468"/>
      <c r="BQ90" s="467"/>
      <c r="BR90" s="468"/>
      <c r="BS90" s="469"/>
      <c r="BT90" s="467"/>
      <c r="BU90" s="468"/>
      <c r="BV90" s="468"/>
      <c r="BW90" s="467"/>
      <c r="BX90" s="468"/>
      <c r="BY90" s="469"/>
      <c r="BZ90" s="467"/>
      <c r="CA90" s="468"/>
      <c r="CB90" s="468"/>
      <c r="CC90" s="467"/>
      <c r="CD90" s="468"/>
      <c r="CE90" s="469"/>
      <c r="CF90" s="467"/>
      <c r="CG90" s="468"/>
      <c r="CH90" s="468"/>
      <c r="CI90" s="467"/>
      <c r="CJ90" s="468"/>
      <c r="CK90" s="469"/>
    </row>
    <row r="91" spans="5:89" x14ac:dyDescent="0.2">
      <c r="E91" s="233" t="s">
        <v>45</v>
      </c>
      <c r="F91" s="314">
        <v>5.5</v>
      </c>
      <c r="G91" s="31">
        <v>18</v>
      </c>
      <c r="H91" s="32">
        <v>-87</v>
      </c>
      <c r="I91" s="6">
        <v>18</v>
      </c>
      <c r="J91" s="47">
        <v>17</v>
      </c>
      <c r="K91" s="99">
        <v>-83</v>
      </c>
      <c r="L91" s="470"/>
      <c r="M91" s="471"/>
      <c r="N91" s="471"/>
      <c r="O91" s="470"/>
      <c r="P91" s="471"/>
      <c r="Q91" s="684"/>
      <c r="R91" s="681"/>
      <c r="S91" s="471"/>
      <c r="T91" s="471"/>
      <c r="U91" s="470"/>
      <c r="V91" s="471"/>
      <c r="W91" s="472"/>
      <c r="X91" s="470"/>
      <c r="Y91" s="471"/>
      <c r="Z91" s="471"/>
      <c r="AA91" s="470"/>
      <c r="AB91" s="471"/>
      <c r="AC91" s="472"/>
      <c r="AD91" s="470"/>
      <c r="AE91" s="471"/>
      <c r="AF91" s="471"/>
      <c r="AG91" s="470"/>
      <c r="AH91" s="471"/>
      <c r="AI91" s="472"/>
      <c r="AJ91" s="470"/>
      <c r="AK91" s="471"/>
      <c r="AL91" s="471"/>
      <c r="AM91" s="470"/>
      <c r="AN91" s="471"/>
      <c r="AO91" s="472"/>
      <c r="AP91" s="470"/>
      <c r="AQ91" s="471"/>
      <c r="AR91" s="471"/>
      <c r="AS91" s="470"/>
      <c r="AT91" s="471"/>
      <c r="AU91" s="472"/>
      <c r="AV91" s="470"/>
      <c r="AW91" s="471"/>
      <c r="AX91" s="471"/>
      <c r="AY91" s="470"/>
      <c r="AZ91" s="471"/>
      <c r="BA91" s="472"/>
      <c r="BB91" s="470"/>
      <c r="BC91" s="471"/>
      <c r="BD91" s="471"/>
      <c r="BE91" s="470"/>
      <c r="BF91" s="471"/>
      <c r="BG91" s="472"/>
      <c r="BH91" s="470"/>
      <c r="BI91" s="471"/>
      <c r="BJ91" s="471"/>
      <c r="BK91" s="470"/>
      <c r="BL91" s="471"/>
      <c r="BM91" s="472"/>
      <c r="BN91" s="470"/>
      <c r="BO91" s="471"/>
      <c r="BP91" s="471"/>
      <c r="BQ91" s="470"/>
      <c r="BR91" s="471"/>
      <c r="BS91" s="472"/>
      <c r="BT91" s="470"/>
      <c r="BU91" s="471"/>
      <c r="BV91" s="471"/>
      <c r="BW91" s="470"/>
      <c r="BX91" s="471"/>
      <c r="BY91" s="472"/>
      <c r="BZ91" s="470"/>
      <c r="CA91" s="471"/>
      <c r="CB91" s="471"/>
      <c r="CC91" s="470"/>
      <c r="CD91" s="471"/>
      <c r="CE91" s="472"/>
      <c r="CF91" s="470"/>
      <c r="CG91" s="471"/>
      <c r="CH91" s="471"/>
      <c r="CI91" s="470"/>
      <c r="CJ91" s="471"/>
      <c r="CK91" s="472"/>
    </row>
    <row r="92" spans="5:89" x14ac:dyDescent="0.2">
      <c r="E92" s="31"/>
      <c r="F92" s="315">
        <v>6</v>
      </c>
      <c r="G92" s="31">
        <v>18</v>
      </c>
      <c r="H92" s="32">
        <v>-87</v>
      </c>
      <c r="I92" s="6">
        <v>24</v>
      </c>
      <c r="J92" s="47">
        <v>17</v>
      </c>
      <c r="K92" s="99">
        <v>-82</v>
      </c>
      <c r="L92" s="470"/>
      <c r="M92" s="471"/>
      <c r="N92" s="471"/>
      <c r="O92" s="470"/>
      <c r="P92" s="471"/>
      <c r="Q92" s="684"/>
      <c r="R92" s="681"/>
      <c r="S92" s="471"/>
      <c r="T92" s="471"/>
      <c r="U92" s="470"/>
      <c r="V92" s="471"/>
      <c r="W92" s="472"/>
      <c r="X92" s="470"/>
      <c r="Y92" s="471"/>
      <c r="Z92" s="471"/>
      <c r="AA92" s="470"/>
      <c r="AB92" s="471"/>
      <c r="AC92" s="472"/>
      <c r="AD92" s="470"/>
      <c r="AE92" s="471"/>
      <c r="AF92" s="471"/>
      <c r="AG92" s="470"/>
      <c r="AH92" s="471"/>
      <c r="AI92" s="472"/>
      <c r="AJ92" s="470"/>
      <c r="AK92" s="471"/>
      <c r="AL92" s="471"/>
      <c r="AM92" s="470"/>
      <c r="AN92" s="471"/>
      <c r="AO92" s="472"/>
      <c r="AP92" s="470"/>
      <c r="AQ92" s="471"/>
      <c r="AR92" s="471"/>
      <c r="AS92" s="470"/>
      <c r="AT92" s="471"/>
      <c r="AU92" s="472"/>
      <c r="AV92" s="470"/>
      <c r="AW92" s="471"/>
      <c r="AX92" s="471"/>
      <c r="AY92" s="470"/>
      <c r="AZ92" s="471"/>
      <c r="BA92" s="472"/>
      <c r="BB92" s="470"/>
      <c r="BC92" s="471"/>
      <c r="BD92" s="471"/>
      <c r="BE92" s="470"/>
      <c r="BF92" s="471"/>
      <c r="BG92" s="472"/>
      <c r="BH92" s="470"/>
      <c r="BI92" s="471"/>
      <c r="BJ92" s="471"/>
      <c r="BK92" s="470"/>
      <c r="BL92" s="471"/>
      <c r="BM92" s="472"/>
      <c r="BN92" s="470"/>
      <c r="BO92" s="471"/>
      <c r="BP92" s="471"/>
      <c r="BQ92" s="470"/>
      <c r="BR92" s="471"/>
      <c r="BS92" s="472"/>
      <c r="BT92" s="470"/>
      <c r="BU92" s="471"/>
      <c r="BV92" s="471"/>
      <c r="BW92" s="470"/>
      <c r="BX92" s="471"/>
      <c r="BY92" s="472"/>
      <c r="BZ92" s="470"/>
      <c r="CA92" s="471"/>
      <c r="CB92" s="471"/>
      <c r="CC92" s="470"/>
      <c r="CD92" s="471"/>
      <c r="CE92" s="472"/>
      <c r="CF92" s="470"/>
      <c r="CG92" s="471"/>
      <c r="CH92" s="471"/>
      <c r="CI92" s="470"/>
      <c r="CJ92" s="471"/>
      <c r="CK92" s="472"/>
    </row>
    <row r="93" spans="5:89" x14ac:dyDescent="0.2">
      <c r="E93" s="31"/>
      <c r="F93" s="315">
        <v>9</v>
      </c>
      <c r="G93" s="31">
        <v>18</v>
      </c>
      <c r="H93" s="32">
        <v>-86</v>
      </c>
      <c r="I93" s="6">
        <v>36</v>
      </c>
      <c r="J93" s="47">
        <v>17</v>
      </c>
      <c r="K93" s="99">
        <v>-80</v>
      </c>
      <c r="L93" s="470"/>
      <c r="M93" s="471"/>
      <c r="N93" s="471"/>
      <c r="O93" s="470"/>
      <c r="P93" s="471"/>
      <c r="Q93" s="684"/>
      <c r="R93" s="681"/>
      <c r="S93" s="471"/>
      <c r="T93" s="471"/>
      <c r="U93" s="470"/>
      <c r="V93" s="471"/>
      <c r="W93" s="472"/>
      <c r="X93" s="470"/>
      <c r="Y93" s="471"/>
      <c r="Z93" s="471"/>
      <c r="AA93" s="470"/>
      <c r="AB93" s="471"/>
      <c r="AC93" s="472"/>
      <c r="AD93" s="470"/>
      <c r="AE93" s="471"/>
      <c r="AF93" s="471"/>
      <c r="AG93" s="470"/>
      <c r="AH93" s="471"/>
      <c r="AI93" s="472"/>
      <c r="AJ93" s="470"/>
      <c r="AK93" s="471"/>
      <c r="AL93" s="471"/>
      <c r="AM93" s="470"/>
      <c r="AN93" s="471"/>
      <c r="AO93" s="472"/>
      <c r="AP93" s="470"/>
      <c r="AQ93" s="471"/>
      <c r="AR93" s="471"/>
      <c r="AS93" s="470"/>
      <c r="AT93" s="471"/>
      <c r="AU93" s="472"/>
      <c r="AV93" s="470"/>
      <c r="AW93" s="471"/>
      <c r="AX93" s="471"/>
      <c r="AY93" s="470"/>
      <c r="AZ93" s="471"/>
      <c r="BA93" s="472"/>
      <c r="BB93" s="470"/>
      <c r="BC93" s="471"/>
      <c r="BD93" s="471"/>
      <c r="BE93" s="470"/>
      <c r="BF93" s="471"/>
      <c r="BG93" s="472"/>
      <c r="BH93" s="470"/>
      <c r="BI93" s="471"/>
      <c r="BJ93" s="471"/>
      <c r="BK93" s="470"/>
      <c r="BL93" s="471"/>
      <c r="BM93" s="472"/>
      <c r="BN93" s="470"/>
      <c r="BO93" s="471"/>
      <c r="BP93" s="471"/>
      <c r="BQ93" s="470"/>
      <c r="BR93" s="471"/>
      <c r="BS93" s="472"/>
      <c r="BT93" s="470"/>
      <c r="BU93" s="471"/>
      <c r="BV93" s="471"/>
      <c r="BW93" s="470"/>
      <c r="BX93" s="471"/>
      <c r="BY93" s="472"/>
      <c r="BZ93" s="470"/>
      <c r="CA93" s="471"/>
      <c r="CB93" s="471"/>
      <c r="CC93" s="470"/>
      <c r="CD93" s="471"/>
      <c r="CE93" s="472"/>
      <c r="CF93" s="470"/>
      <c r="CG93" s="471"/>
      <c r="CH93" s="471"/>
      <c r="CI93" s="470"/>
      <c r="CJ93" s="471"/>
      <c r="CK93" s="472"/>
    </row>
    <row r="94" spans="5:89" x14ac:dyDescent="0.2">
      <c r="E94" s="31"/>
      <c r="F94" s="315">
        <v>11</v>
      </c>
      <c r="G94" s="31">
        <v>18</v>
      </c>
      <c r="H94" s="32">
        <v>-84</v>
      </c>
      <c r="I94" s="6">
        <v>48</v>
      </c>
      <c r="J94" s="47">
        <v>17</v>
      </c>
      <c r="K94" s="99">
        <v>-77</v>
      </c>
      <c r="L94" s="470"/>
      <c r="M94" s="471"/>
      <c r="N94" s="471"/>
      <c r="O94" s="470"/>
      <c r="P94" s="471"/>
      <c r="Q94" s="684"/>
      <c r="R94" s="681"/>
      <c r="S94" s="471"/>
      <c r="T94" s="471"/>
      <c r="U94" s="470"/>
      <c r="V94" s="471"/>
      <c r="W94" s="472"/>
      <c r="X94" s="470"/>
      <c r="Y94" s="471"/>
      <c r="Z94" s="471"/>
      <c r="AA94" s="470"/>
      <c r="AB94" s="471"/>
      <c r="AC94" s="472"/>
      <c r="AD94" s="470"/>
      <c r="AE94" s="471"/>
      <c r="AF94" s="471"/>
      <c r="AG94" s="470"/>
      <c r="AH94" s="471"/>
      <c r="AI94" s="472"/>
      <c r="AJ94" s="470"/>
      <c r="AK94" s="471"/>
      <c r="AL94" s="471"/>
      <c r="AM94" s="470"/>
      <c r="AN94" s="471"/>
      <c r="AO94" s="472"/>
      <c r="AP94" s="470"/>
      <c r="AQ94" s="471"/>
      <c r="AR94" s="471"/>
      <c r="AS94" s="470"/>
      <c r="AT94" s="471"/>
      <c r="AU94" s="472"/>
      <c r="AV94" s="470"/>
      <c r="AW94" s="471"/>
      <c r="AX94" s="471"/>
      <c r="AY94" s="470"/>
      <c r="AZ94" s="471"/>
      <c r="BA94" s="472"/>
      <c r="BB94" s="470"/>
      <c r="BC94" s="471"/>
      <c r="BD94" s="471"/>
      <c r="BE94" s="470"/>
      <c r="BF94" s="471"/>
      <c r="BG94" s="472"/>
      <c r="BH94" s="470"/>
      <c r="BI94" s="471"/>
      <c r="BJ94" s="471"/>
      <c r="BK94" s="470"/>
      <c r="BL94" s="471"/>
      <c r="BM94" s="472"/>
      <c r="BN94" s="470"/>
      <c r="BO94" s="471"/>
      <c r="BP94" s="471"/>
      <c r="BQ94" s="470"/>
      <c r="BR94" s="471"/>
      <c r="BS94" s="472"/>
      <c r="BT94" s="470"/>
      <c r="BU94" s="471"/>
      <c r="BV94" s="471"/>
      <c r="BW94" s="470"/>
      <c r="BX94" s="471"/>
      <c r="BY94" s="472"/>
      <c r="BZ94" s="470"/>
      <c r="CA94" s="471"/>
      <c r="CB94" s="471"/>
      <c r="CC94" s="470"/>
      <c r="CD94" s="471"/>
      <c r="CE94" s="472"/>
      <c r="CF94" s="470"/>
      <c r="CG94" s="471"/>
      <c r="CH94" s="471"/>
      <c r="CI94" s="470"/>
      <c r="CJ94" s="471"/>
      <c r="CK94" s="472"/>
    </row>
    <row r="95" spans="5:89" x14ac:dyDescent="0.2">
      <c r="E95" s="31"/>
      <c r="F95" s="315">
        <v>12</v>
      </c>
      <c r="G95" s="31">
        <v>18</v>
      </c>
      <c r="H95" s="32">
        <v>-85</v>
      </c>
      <c r="I95" s="6">
        <v>72</v>
      </c>
      <c r="J95" s="47">
        <v>14</v>
      </c>
      <c r="K95" s="99">
        <v>-73</v>
      </c>
      <c r="L95" s="470"/>
      <c r="M95" s="471"/>
      <c r="N95" s="471"/>
      <c r="O95" s="470"/>
      <c r="P95" s="471"/>
      <c r="Q95" s="684"/>
      <c r="R95" s="681"/>
      <c r="S95" s="471"/>
      <c r="T95" s="471"/>
      <c r="U95" s="470"/>
      <c r="V95" s="471"/>
      <c r="W95" s="472"/>
      <c r="X95" s="470"/>
      <c r="Y95" s="471"/>
      <c r="Z95" s="471"/>
      <c r="AA95" s="470"/>
      <c r="AB95" s="471"/>
      <c r="AC95" s="472"/>
      <c r="AD95" s="470"/>
      <c r="AE95" s="471"/>
      <c r="AF95" s="471"/>
      <c r="AG95" s="470"/>
      <c r="AH95" s="471"/>
      <c r="AI95" s="472"/>
      <c r="AJ95" s="470"/>
      <c r="AK95" s="471"/>
      <c r="AL95" s="471"/>
      <c r="AM95" s="470"/>
      <c r="AN95" s="471"/>
      <c r="AO95" s="472"/>
      <c r="AP95" s="470"/>
      <c r="AQ95" s="471"/>
      <c r="AR95" s="471"/>
      <c r="AS95" s="470"/>
      <c r="AT95" s="471"/>
      <c r="AU95" s="472"/>
      <c r="AV95" s="470"/>
      <c r="AW95" s="471"/>
      <c r="AX95" s="471"/>
      <c r="AY95" s="470"/>
      <c r="AZ95" s="471"/>
      <c r="BA95" s="472"/>
      <c r="BB95" s="470"/>
      <c r="BC95" s="471"/>
      <c r="BD95" s="471"/>
      <c r="BE95" s="470"/>
      <c r="BF95" s="471"/>
      <c r="BG95" s="472"/>
      <c r="BH95" s="470"/>
      <c r="BI95" s="471"/>
      <c r="BJ95" s="471"/>
      <c r="BK95" s="470"/>
      <c r="BL95" s="471"/>
      <c r="BM95" s="472"/>
      <c r="BN95" s="470"/>
      <c r="BO95" s="471"/>
      <c r="BP95" s="471"/>
      <c r="BQ95" s="470"/>
      <c r="BR95" s="471"/>
      <c r="BS95" s="472"/>
      <c r="BT95" s="470"/>
      <c r="BU95" s="471"/>
      <c r="BV95" s="471"/>
      <c r="BW95" s="470"/>
      <c r="BX95" s="471"/>
      <c r="BY95" s="472"/>
      <c r="BZ95" s="470"/>
      <c r="CA95" s="471"/>
      <c r="CB95" s="471"/>
      <c r="CC95" s="470"/>
      <c r="CD95" s="471"/>
      <c r="CE95" s="472"/>
      <c r="CF95" s="470"/>
      <c r="CG95" s="471"/>
      <c r="CH95" s="471"/>
      <c r="CI95" s="470"/>
      <c r="CJ95" s="471"/>
      <c r="CK95" s="472"/>
    </row>
    <row r="96" spans="5:89" x14ac:dyDescent="0.2">
      <c r="E96" s="31"/>
      <c r="F96" s="315">
        <v>18</v>
      </c>
      <c r="G96" s="31">
        <v>18</v>
      </c>
      <c r="H96" s="32">
        <v>-83</v>
      </c>
      <c r="I96" s="6">
        <v>96</v>
      </c>
      <c r="J96" s="47">
        <v>14</v>
      </c>
      <c r="K96" s="99">
        <v>-68</v>
      </c>
      <c r="L96" s="470"/>
      <c r="M96" s="471"/>
      <c r="N96" s="471"/>
      <c r="O96" s="470"/>
      <c r="P96" s="471"/>
      <c r="Q96" s="684"/>
      <c r="R96" s="681"/>
      <c r="S96" s="471"/>
      <c r="T96" s="471"/>
      <c r="U96" s="470"/>
      <c r="V96" s="471"/>
      <c r="W96" s="472"/>
      <c r="X96" s="470"/>
      <c r="Y96" s="471"/>
      <c r="Z96" s="471"/>
      <c r="AA96" s="470"/>
      <c r="AB96" s="471"/>
      <c r="AC96" s="472"/>
      <c r="AD96" s="470"/>
      <c r="AE96" s="471"/>
      <c r="AF96" s="471"/>
      <c r="AG96" s="470"/>
      <c r="AH96" s="471"/>
      <c r="AI96" s="472"/>
      <c r="AJ96" s="470"/>
      <c r="AK96" s="471"/>
      <c r="AL96" s="471"/>
      <c r="AM96" s="470"/>
      <c r="AN96" s="471"/>
      <c r="AO96" s="472"/>
      <c r="AP96" s="470"/>
      <c r="AQ96" s="471"/>
      <c r="AR96" s="471"/>
      <c r="AS96" s="470"/>
      <c r="AT96" s="471"/>
      <c r="AU96" s="472"/>
      <c r="AV96" s="470"/>
      <c r="AW96" s="471"/>
      <c r="AX96" s="471"/>
      <c r="AY96" s="470"/>
      <c r="AZ96" s="471"/>
      <c r="BA96" s="472"/>
      <c r="BB96" s="470"/>
      <c r="BC96" s="471"/>
      <c r="BD96" s="471"/>
      <c r="BE96" s="470"/>
      <c r="BF96" s="471"/>
      <c r="BG96" s="472"/>
      <c r="BH96" s="470"/>
      <c r="BI96" s="471"/>
      <c r="BJ96" s="471"/>
      <c r="BK96" s="470"/>
      <c r="BL96" s="471"/>
      <c r="BM96" s="472"/>
      <c r="BN96" s="470"/>
      <c r="BO96" s="471"/>
      <c r="BP96" s="471"/>
      <c r="BQ96" s="470"/>
      <c r="BR96" s="471"/>
      <c r="BS96" s="472"/>
      <c r="BT96" s="470"/>
      <c r="BU96" s="471"/>
      <c r="BV96" s="471"/>
      <c r="BW96" s="470"/>
      <c r="BX96" s="471"/>
      <c r="BY96" s="472"/>
      <c r="BZ96" s="470"/>
      <c r="CA96" s="471"/>
      <c r="CB96" s="471"/>
      <c r="CC96" s="470"/>
      <c r="CD96" s="471"/>
      <c r="CE96" s="472"/>
      <c r="CF96" s="470"/>
      <c r="CG96" s="471"/>
      <c r="CH96" s="471"/>
      <c r="CI96" s="470"/>
      <c r="CJ96" s="471"/>
      <c r="CK96" s="472"/>
    </row>
    <row r="97" spans="5:89" x14ac:dyDescent="0.2">
      <c r="E97" s="31"/>
      <c r="F97" s="315">
        <v>24</v>
      </c>
      <c r="G97" s="31">
        <v>18</v>
      </c>
      <c r="H97" s="32">
        <v>-80</v>
      </c>
      <c r="I97" s="6">
        <v>108</v>
      </c>
      <c r="J97" s="47">
        <v>13</v>
      </c>
      <c r="K97" s="99">
        <v>-63</v>
      </c>
      <c r="L97" s="470"/>
      <c r="M97" s="471"/>
      <c r="N97" s="471"/>
      <c r="O97" s="470"/>
      <c r="P97" s="471"/>
      <c r="Q97" s="684"/>
      <c r="R97" s="681"/>
      <c r="S97" s="471"/>
      <c r="T97" s="471"/>
      <c r="U97" s="470"/>
      <c r="V97" s="471"/>
      <c r="W97" s="472"/>
      <c r="X97" s="470"/>
      <c r="Y97" s="471"/>
      <c r="Z97" s="471"/>
      <c r="AA97" s="470"/>
      <c r="AB97" s="471"/>
      <c r="AC97" s="472"/>
      <c r="AD97" s="470"/>
      <c r="AE97" s="471"/>
      <c r="AF97" s="471"/>
      <c r="AG97" s="470"/>
      <c r="AH97" s="471"/>
      <c r="AI97" s="472"/>
      <c r="AJ97" s="470"/>
      <c r="AK97" s="471"/>
      <c r="AL97" s="471"/>
      <c r="AM97" s="470"/>
      <c r="AN97" s="471"/>
      <c r="AO97" s="472"/>
      <c r="AP97" s="470"/>
      <c r="AQ97" s="471"/>
      <c r="AR97" s="471"/>
      <c r="AS97" s="470"/>
      <c r="AT97" s="471"/>
      <c r="AU97" s="472"/>
      <c r="AV97" s="470"/>
      <c r="AW97" s="471"/>
      <c r="AX97" s="471"/>
      <c r="AY97" s="470"/>
      <c r="AZ97" s="471"/>
      <c r="BA97" s="472"/>
      <c r="BB97" s="470"/>
      <c r="BC97" s="471"/>
      <c r="BD97" s="471"/>
      <c r="BE97" s="470"/>
      <c r="BF97" s="471"/>
      <c r="BG97" s="472"/>
      <c r="BH97" s="470"/>
      <c r="BI97" s="471"/>
      <c r="BJ97" s="471"/>
      <c r="BK97" s="470"/>
      <c r="BL97" s="471"/>
      <c r="BM97" s="472"/>
      <c r="BN97" s="470"/>
      <c r="BO97" s="471"/>
      <c r="BP97" s="471"/>
      <c r="BQ97" s="470"/>
      <c r="BR97" s="471"/>
      <c r="BS97" s="472"/>
      <c r="BT97" s="470"/>
      <c r="BU97" s="471"/>
      <c r="BV97" s="471"/>
      <c r="BW97" s="470"/>
      <c r="BX97" s="471"/>
      <c r="BY97" s="472"/>
      <c r="BZ97" s="470"/>
      <c r="CA97" s="471"/>
      <c r="CB97" s="471"/>
      <c r="CC97" s="470"/>
      <c r="CD97" s="471"/>
      <c r="CE97" s="472"/>
      <c r="CF97" s="470"/>
      <c r="CG97" s="471"/>
      <c r="CH97" s="471"/>
      <c r="CI97" s="470"/>
      <c r="CJ97" s="471"/>
      <c r="CK97" s="472"/>
    </row>
    <row r="98" spans="5:89" x14ac:dyDescent="0.2">
      <c r="E98" s="31"/>
      <c r="F98" s="315">
        <v>36</v>
      </c>
      <c r="G98" s="31">
        <v>15</v>
      </c>
      <c r="H98" s="32">
        <v>-76</v>
      </c>
      <c r="I98" s="6"/>
      <c r="J98" s="2"/>
      <c r="K98" s="10"/>
      <c r="L98" s="470"/>
      <c r="M98" s="471"/>
      <c r="N98" s="471"/>
      <c r="O98" s="470"/>
      <c r="P98" s="471"/>
      <c r="Q98" s="684"/>
      <c r="R98" s="681"/>
      <c r="S98" s="471"/>
      <c r="T98" s="471"/>
      <c r="U98" s="470"/>
      <c r="V98" s="471"/>
      <c r="W98" s="472"/>
      <c r="X98" s="470"/>
      <c r="Y98" s="471"/>
      <c r="Z98" s="471"/>
      <c r="AA98" s="470"/>
      <c r="AB98" s="471"/>
      <c r="AC98" s="472"/>
      <c r="AD98" s="470"/>
      <c r="AE98" s="471"/>
      <c r="AF98" s="471"/>
      <c r="AG98" s="470"/>
      <c r="AH98" s="471"/>
      <c r="AI98" s="472"/>
      <c r="AJ98" s="470"/>
      <c r="AK98" s="471"/>
      <c r="AL98" s="471"/>
      <c r="AM98" s="470"/>
      <c r="AN98" s="471"/>
      <c r="AO98" s="472"/>
      <c r="AP98" s="470"/>
      <c r="AQ98" s="471"/>
      <c r="AR98" s="471"/>
      <c r="AS98" s="470"/>
      <c r="AT98" s="471"/>
      <c r="AU98" s="472"/>
      <c r="AV98" s="470"/>
      <c r="AW98" s="471"/>
      <c r="AX98" s="471"/>
      <c r="AY98" s="470"/>
      <c r="AZ98" s="471"/>
      <c r="BA98" s="472"/>
      <c r="BB98" s="470"/>
      <c r="BC98" s="471"/>
      <c r="BD98" s="471"/>
      <c r="BE98" s="470"/>
      <c r="BF98" s="471"/>
      <c r="BG98" s="472"/>
      <c r="BH98" s="470"/>
      <c r="BI98" s="471"/>
      <c r="BJ98" s="471"/>
      <c r="BK98" s="470"/>
      <c r="BL98" s="471"/>
      <c r="BM98" s="472"/>
      <c r="BN98" s="470"/>
      <c r="BO98" s="471"/>
      <c r="BP98" s="471"/>
      <c r="BQ98" s="470"/>
      <c r="BR98" s="471"/>
      <c r="BS98" s="472"/>
      <c r="BT98" s="470"/>
      <c r="BU98" s="471"/>
      <c r="BV98" s="471"/>
      <c r="BW98" s="470"/>
      <c r="BX98" s="471"/>
      <c r="BY98" s="472"/>
      <c r="BZ98" s="470"/>
      <c r="CA98" s="471"/>
      <c r="CB98" s="471"/>
      <c r="CC98" s="470"/>
      <c r="CD98" s="471"/>
      <c r="CE98" s="472"/>
      <c r="CF98" s="470"/>
      <c r="CG98" s="471"/>
      <c r="CH98" s="471"/>
      <c r="CI98" s="470"/>
      <c r="CJ98" s="471"/>
      <c r="CK98" s="472"/>
    </row>
    <row r="99" spans="5:89" x14ac:dyDescent="0.2">
      <c r="E99" s="31"/>
      <c r="F99" s="315">
        <v>48</v>
      </c>
      <c r="G99" s="31">
        <v>15</v>
      </c>
      <c r="H99" s="32">
        <v>-71</v>
      </c>
      <c r="I99" s="6"/>
      <c r="J99" s="2"/>
      <c r="K99" s="10"/>
      <c r="L99" s="470"/>
      <c r="M99" s="471"/>
      <c r="N99" s="471"/>
      <c r="O99" s="470"/>
      <c r="P99" s="471"/>
      <c r="Q99" s="684"/>
      <c r="R99" s="681"/>
      <c r="S99" s="471"/>
      <c r="T99" s="471"/>
      <c r="U99" s="470"/>
      <c r="V99" s="471"/>
      <c r="W99" s="472"/>
      <c r="X99" s="470"/>
      <c r="Y99" s="471"/>
      <c r="Z99" s="471"/>
      <c r="AA99" s="470"/>
      <c r="AB99" s="471"/>
      <c r="AC99" s="472"/>
      <c r="AD99" s="470"/>
      <c r="AE99" s="471"/>
      <c r="AF99" s="471"/>
      <c r="AG99" s="470"/>
      <c r="AH99" s="471"/>
      <c r="AI99" s="472"/>
      <c r="AJ99" s="470"/>
      <c r="AK99" s="471"/>
      <c r="AL99" s="471"/>
      <c r="AM99" s="470"/>
      <c r="AN99" s="471"/>
      <c r="AO99" s="472"/>
      <c r="AP99" s="470"/>
      <c r="AQ99" s="471"/>
      <c r="AR99" s="471"/>
      <c r="AS99" s="470"/>
      <c r="AT99" s="471"/>
      <c r="AU99" s="472"/>
      <c r="AV99" s="470"/>
      <c r="AW99" s="471"/>
      <c r="AX99" s="471"/>
      <c r="AY99" s="470"/>
      <c r="AZ99" s="471"/>
      <c r="BA99" s="472"/>
      <c r="BB99" s="470"/>
      <c r="BC99" s="471"/>
      <c r="BD99" s="471"/>
      <c r="BE99" s="470"/>
      <c r="BF99" s="471"/>
      <c r="BG99" s="472"/>
      <c r="BH99" s="470"/>
      <c r="BI99" s="471"/>
      <c r="BJ99" s="471"/>
      <c r="BK99" s="470"/>
      <c r="BL99" s="471"/>
      <c r="BM99" s="472"/>
      <c r="BN99" s="470"/>
      <c r="BO99" s="471"/>
      <c r="BP99" s="471"/>
      <c r="BQ99" s="470"/>
      <c r="BR99" s="471"/>
      <c r="BS99" s="472"/>
      <c r="BT99" s="470"/>
      <c r="BU99" s="471"/>
      <c r="BV99" s="471"/>
      <c r="BW99" s="470"/>
      <c r="BX99" s="471"/>
      <c r="BY99" s="472"/>
      <c r="BZ99" s="470"/>
      <c r="CA99" s="471"/>
      <c r="CB99" s="471"/>
      <c r="CC99" s="470"/>
      <c r="CD99" s="471"/>
      <c r="CE99" s="472"/>
      <c r="CF99" s="470"/>
      <c r="CG99" s="471"/>
      <c r="CH99" s="471"/>
      <c r="CI99" s="470"/>
      <c r="CJ99" s="471"/>
      <c r="CK99" s="472"/>
    </row>
    <row r="100" spans="5:89" ht="10.5" thickBot="1" x14ac:dyDescent="0.25">
      <c r="E100" s="31"/>
      <c r="F100" s="316">
        <v>54</v>
      </c>
      <c r="G100" s="317">
        <v>14</v>
      </c>
      <c r="H100" s="317">
        <v>-66</v>
      </c>
      <c r="I100" s="300"/>
      <c r="J100" s="55"/>
      <c r="K100" s="309"/>
      <c r="L100" s="473"/>
      <c r="M100" s="474"/>
      <c r="N100" s="474"/>
      <c r="O100" s="473"/>
      <c r="P100" s="474"/>
      <c r="Q100" s="685"/>
      <c r="R100" s="682"/>
      <c r="S100" s="474"/>
      <c r="T100" s="474"/>
      <c r="U100" s="473"/>
      <c r="V100" s="474"/>
      <c r="W100" s="475"/>
      <c r="X100" s="473"/>
      <c r="Y100" s="474"/>
      <c r="Z100" s="474"/>
      <c r="AA100" s="473"/>
      <c r="AB100" s="474"/>
      <c r="AC100" s="475"/>
      <c r="AD100" s="473"/>
      <c r="AE100" s="474"/>
      <c r="AF100" s="474"/>
      <c r="AG100" s="473"/>
      <c r="AH100" s="474"/>
      <c r="AI100" s="475"/>
      <c r="AJ100" s="473"/>
      <c r="AK100" s="474"/>
      <c r="AL100" s="474"/>
      <c r="AM100" s="473"/>
      <c r="AN100" s="474"/>
      <c r="AO100" s="475"/>
      <c r="AP100" s="473"/>
      <c r="AQ100" s="474"/>
      <c r="AR100" s="474"/>
      <c r="AS100" s="473"/>
      <c r="AT100" s="474"/>
      <c r="AU100" s="475"/>
      <c r="AV100" s="473"/>
      <c r="AW100" s="474"/>
      <c r="AX100" s="474"/>
      <c r="AY100" s="473"/>
      <c r="AZ100" s="474"/>
      <c r="BA100" s="475"/>
      <c r="BB100" s="473"/>
      <c r="BC100" s="474"/>
      <c r="BD100" s="474"/>
      <c r="BE100" s="473"/>
      <c r="BF100" s="474"/>
      <c r="BG100" s="475"/>
      <c r="BH100" s="473"/>
      <c r="BI100" s="474"/>
      <c r="BJ100" s="474"/>
      <c r="BK100" s="473"/>
      <c r="BL100" s="474"/>
      <c r="BM100" s="475"/>
      <c r="BN100" s="473"/>
      <c r="BO100" s="474"/>
      <c r="BP100" s="474"/>
      <c r="BQ100" s="473"/>
      <c r="BR100" s="474"/>
      <c r="BS100" s="475"/>
      <c r="BT100" s="473"/>
      <c r="BU100" s="474"/>
      <c r="BV100" s="474"/>
      <c r="BW100" s="473"/>
      <c r="BX100" s="474"/>
      <c r="BY100" s="475"/>
      <c r="BZ100" s="473"/>
      <c r="CA100" s="474"/>
      <c r="CB100" s="474"/>
      <c r="CC100" s="473"/>
      <c r="CD100" s="474"/>
      <c r="CE100" s="475"/>
      <c r="CF100" s="473"/>
      <c r="CG100" s="474"/>
      <c r="CH100" s="474"/>
      <c r="CI100" s="473"/>
      <c r="CJ100" s="474"/>
      <c r="CK100" s="475"/>
    </row>
    <row r="101" spans="5:89" x14ac:dyDescent="0.2">
      <c r="E101" s="31"/>
      <c r="F101" s="31"/>
      <c r="G101" s="31"/>
      <c r="H101" s="31"/>
      <c r="I101" s="31"/>
      <c r="J101" s="25"/>
      <c r="K101" s="32"/>
      <c r="L101" s="32"/>
      <c r="M101" s="32"/>
      <c r="N101" s="32"/>
      <c r="O101" s="32"/>
      <c r="P101" s="32"/>
      <c r="Q101" s="32"/>
      <c r="R101" s="2"/>
      <c r="S101" s="31"/>
      <c r="T101" s="31"/>
      <c r="U101" s="32"/>
      <c r="V101" s="2"/>
      <c r="W101" s="2"/>
      <c r="X101" s="2"/>
      <c r="Y101" s="2"/>
      <c r="Z101" s="2"/>
      <c r="AA101" s="2"/>
      <c r="AB101" s="2"/>
      <c r="AC101" s="2"/>
      <c r="AJ101" s="2"/>
      <c r="AK101" s="2"/>
      <c r="AL101" s="2"/>
      <c r="AM101" s="2"/>
      <c r="AN101" s="2"/>
      <c r="AO101" s="2"/>
      <c r="AV101" s="2"/>
      <c r="AW101" s="2"/>
      <c r="AX101" s="2"/>
      <c r="AY101" s="2"/>
      <c r="AZ101" s="2"/>
      <c r="BA101" s="2"/>
      <c r="BH101" s="2"/>
      <c r="BI101" s="2"/>
      <c r="BJ101" s="2"/>
      <c r="BK101" s="2"/>
      <c r="BL101" s="2"/>
      <c r="BM101" s="2"/>
      <c r="BT101" s="2"/>
      <c r="BU101" s="2"/>
      <c r="BV101" s="2"/>
      <c r="BW101" s="2"/>
      <c r="BX101" s="2"/>
      <c r="BY101" s="2"/>
    </row>
    <row r="102" spans="5:89" ht="10.5" x14ac:dyDescent="0.25">
      <c r="E102" s="31"/>
      <c r="F102" s="26" t="s">
        <v>0</v>
      </c>
      <c r="G102" s="26"/>
      <c r="H102" s="26"/>
      <c r="I102" s="26"/>
      <c r="J102" s="26"/>
      <c r="K102" s="26"/>
      <c r="L102" s="32"/>
      <c r="M102" s="32"/>
      <c r="N102" s="32"/>
      <c r="O102" s="32"/>
      <c r="P102" s="32"/>
      <c r="Q102" s="32"/>
      <c r="R102" s="26" t="s">
        <v>1</v>
      </c>
      <c r="S102" s="25"/>
      <c r="T102" s="25"/>
      <c r="U102" s="25"/>
      <c r="X102" s="2"/>
      <c r="Y102" s="2"/>
      <c r="Z102" s="2"/>
      <c r="AA102" s="2"/>
      <c r="AB102" s="2"/>
      <c r="AC102" s="2"/>
      <c r="AD102" s="853" t="s">
        <v>410</v>
      </c>
      <c r="AE102" s="852"/>
      <c r="AF102" s="852"/>
      <c r="AG102" s="852"/>
      <c r="AJ102" s="2"/>
      <c r="AK102" s="2"/>
      <c r="AL102" s="2"/>
      <c r="AM102" s="2"/>
      <c r="AN102" s="2"/>
      <c r="AO102" s="2"/>
      <c r="AP102" s="853" t="s">
        <v>411</v>
      </c>
      <c r="AQ102" s="852"/>
      <c r="AR102" s="852"/>
      <c r="AS102" s="852"/>
      <c r="AV102" s="2"/>
      <c r="AW102" s="2"/>
      <c r="AX102" s="2"/>
      <c r="AY102" s="2"/>
      <c r="AZ102" s="2"/>
      <c r="BA102" s="2"/>
      <c r="BB102" s="44" t="s">
        <v>223</v>
      </c>
      <c r="BH102" s="2"/>
      <c r="BI102" s="2"/>
      <c r="BJ102" s="2"/>
      <c r="BK102" s="2"/>
      <c r="BL102" s="2"/>
      <c r="BM102" s="2"/>
      <c r="BN102" s="44" t="s">
        <v>351</v>
      </c>
      <c r="BT102" s="2"/>
      <c r="BU102" s="2"/>
      <c r="BV102" s="2"/>
      <c r="BW102" s="2"/>
      <c r="BX102" s="2"/>
      <c r="BY102" s="2"/>
      <c r="BZ102" s="44" t="s">
        <v>515</v>
      </c>
      <c r="CF102" s="2"/>
      <c r="CG102" s="2"/>
      <c r="CH102" s="2"/>
      <c r="CI102" s="2"/>
      <c r="CJ102" s="2"/>
      <c r="CK102" s="2"/>
    </row>
    <row r="103" spans="5:89" ht="11" thickBot="1" x14ac:dyDescent="0.3">
      <c r="E103" s="31"/>
      <c r="F103" s="26" t="s">
        <v>113</v>
      </c>
      <c r="G103" s="26" t="s">
        <v>108</v>
      </c>
      <c r="H103" s="26" t="s">
        <v>109</v>
      </c>
      <c r="I103" s="26" t="s">
        <v>110</v>
      </c>
      <c r="J103" s="26" t="s">
        <v>111</v>
      </c>
      <c r="K103" s="26" t="s">
        <v>112</v>
      </c>
      <c r="L103" s="32"/>
      <c r="M103" s="32"/>
      <c r="N103" s="32"/>
      <c r="O103" s="32"/>
      <c r="P103" s="32"/>
      <c r="Q103" s="32"/>
      <c r="R103" s="26" t="s">
        <v>113</v>
      </c>
      <c r="S103" s="159" t="s">
        <v>108</v>
      </c>
      <c r="T103" s="159" t="s">
        <v>109</v>
      </c>
      <c r="U103" s="26" t="s">
        <v>110</v>
      </c>
      <c r="V103" s="26" t="s">
        <v>111</v>
      </c>
      <c r="W103" s="26" t="s">
        <v>112</v>
      </c>
      <c r="X103" s="2"/>
      <c r="Y103" s="2"/>
      <c r="Z103" s="2"/>
      <c r="AA103" s="2"/>
      <c r="AB103" s="2"/>
      <c r="AC103" s="2"/>
      <c r="AD103" s="159" t="s">
        <v>88</v>
      </c>
      <c r="AE103" s="159" t="s">
        <v>83</v>
      </c>
      <c r="AF103" s="159" t="s">
        <v>84</v>
      </c>
      <c r="AG103" s="159" t="s">
        <v>87</v>
      </c>
      <c r="AH103" s="159" t="s">
        <v>85</v>
      </c>
      <c r="AI103" s="159" t="s">
        <v>86</v>
      </c>
      <c r="AJ103" s="2"/>
      <c r="AK103" s="2"/>
      <c r="AL103" s="2"/>
      <c r="AM103" s="2"/>
      <c r="AN103" s="2"/>
      <c r="AO103" s="2"/>
      <c r="AP103" s="159" t="s">
        <v>88</v>
      </c>
      <c r="AQ103" s="159" t="s">
        <v>83</v>
      </c>
      <c r="AR103" s="159" t="s">
        <v>84</v>
      </c>
      <c r="AS103" s="159" t="s">
        <v>87</v>
      </c>
      <c r="AT103" s="159" t="s">
        <v>85</v>
      </c>
      <c r="AU103" s="159" t="s">
        <v>86</v>
      </c>
      <c r="AV103" s="2"/>
      <c r="AW103" s="2"/>
      <c r="AX103" s="2"/>
      <c r="AY103" s="2"/>
      <c r="AZ103" s="2"/>
      <c r="BA103" s="2"/>
      <c r="BB103" s="102" t="s">
        <v>88</v>
      </c>
      <c r="BC103" s="102" t="s">
        <v>83</v>
      </c>
      <c r="BD103" s="102" t="s">
        <v>84</v>
      </c>
      <c r="BE103" s="102" t="s">
        <v>87</v>
      </c>
      <c r="BF103" s="102" t="s">
        <v>85</v>
      </c>
      <c r="BG103" s="102" t="s">
        <v>86</v>
      </c>
      <c r="BH103" s="2"/>
      <c r="BI103" s="2"/>
      <c r="BJ103" s="2"/>
      <c r="BK103" s="2"/>
      <c r="BL103" s="2"/>
      <c r="BM103" s="2"/>
      <c r="BN103" s="102" t="s">
        <v>88</v>
      </c>
      <c r="BO103" s="102" t="s">
        <v>83</v>
      </c>
      <c r="BP103" s="102" t="s">
        <v>84</v>
      </c>
      <c r="BQ103" s="102" t="s">
        <v>87</v>
      </c>
      <c r="BR103" s="102" t="s">
        <v>85</v>
      </c>
      <c r="BS103" s="102" t="s">
        <v>86</v>
      </c>
      <c r="BT103" s="2"/>
      <c r="BU103" s="2"/>
      <c r="BV103" s="2"/>
      <c r="BW103" s="2"/>
      <c r="BX103" s="2"/>
      <c r="BY103" s="2"/>
      <c r="BZ103" s="102" t="s">
        <v>88</v>
      </c>
      <c r="CA103" s="102" t="s">
        <v>83</v>
      </c>
      <c r="CB103" s="102" t="s">
        <v>84</v>
      </c>
      <c r="CC103" s="102" t="s">
        <v>87</v>
      </c>
      <c r="CD103" s="102" t="s">
        <v>85</v>
      </c>
      <c r="CE103" s="102" t="s">
        <v>86</v>
      </c>
      <c r="CF103" s="102" t="s">
        <v>512</v>
      </c>
      <c r="CG103" s="102" t="s">
        <v>514</v>
      </c>
      <c r="CH103" s="102" t="s">
        <v>513</v>
      </c>
      <c r="CI103" s="102" t="s">
        <v>516</v>
      </c>
      <c r="CJ103" s="102" t="s">
        <v>517</v>
      </c>
      <c r="CK103" s="102" t="s">
        <v>518</v>
      </c>
    </row>
    <row r="104" spans="5:89" x14ac:dyDescent="0.2">
      <c r="E104" s="31" t="s">
        <v>31</v>
      </c>
      <c r="F104" s="293">
        <v>1</v>
      </c>
      <c r="G104" s="301">
        <v>20</v>
      </c>
      <c r="H104" s="301">
        <v>-95</v>
      </c>
      <c r="I104" s="295">
        <v>12</v>
      </c>
      <c r="J104" s="312">
        <v>18</v>
      </c>
      <c r="K104" s="686">
        <v>-89</v>
      </c>
      <c r="L104" s="467"/>
      <c r="M104" s="468"/>
      <c r="N104" s="468"/>
      <c r="O104" s="467"/>
      <c r="P104" s="468"/>
      <c r="Q104" s="683"/>
      <c r="R104" s="680"/>
      <c r="S104" s="468"/>
      <c r="T104" s="468"/>
      <c r="U104" s="467"/>
      <c r="V104" s="468"/>
      <c r="W104" s="469"/>
      <c r="X104" s="467"/>
      <c r="Y104" s="468"/>
      <c r="Z104" s="468"/>
      <c r="AA104" s="467"/>
      <c r="AB104" s="468"/>
      <c r="AC104" s="469"/>
      <c r="AD104" s="467"/>
      <c r="AE104" s="468"/>
      <c r="AF104" s="468"/>
      <c r="AG104" s="467"/>
      <c r="AH104" s="468"/>
      <c r="AI104" s="469"/>
      <c r="AJ104" s="467"/>
      <c r="AK104" s="468"/>
      <c r="AL104" s="468"/>
      <c r="AM104" s="467"/>
      <c r="AN104" s="468"/>
      <c r="AO104" s="469"/>
      <c r="AP104" s="467"/>
      <c r="AQ104" s="468"/>
      <c r="AR104" s="468"/>
      <c r="AS104" s="467"/>
      <c r="AT104" s="468"/>
      <c r="AU104" s="469"/>
      <c r="AV104" s="467"/>
      <c r="AW104" s="468"/>
      <c r="AX104" s="468"/>
      <c r="AY104" s="467"/>
      <c r="AZ104" s="468"/>
      <c r="BA104" s="469"/>
      <c r="BB104" s="467"/>
      <c r="BC104" s="468"/>
      <c r="BD104" s="468"/>
      <c r="BE104" s="467"/>
      <c r="BF104" s="468"/>
      <c r="BG104" s="469"/>
      <c r="BH104" s="467"/>
      <c r="BI104" s="468"/>
      <c r="BJ104" s="468"/>
      <c r="BK104" s="467"/>
      <c r="BL104" s="468"/>
      <c r="BM104" s="469"/>
      <c r="BN104" s="467"/>
      <c r="BO104" s="468"/>
      <c r="BP104" s="468"/>
      <c r="BQ104" s="467"/>
      <c r="BR104" s="468"/>
      <c r="BS104" s="469"/>
      <c r="BT104" s="467"/>
      <c r="BU104" s="468"/>
      <c r="BV104" s="468"/>
      <c r="BW104" s="467"/>
      <c r="BX104" s="468"/>
      <c r="BY104" s="469"/>
      <c r="BZ104" s="467"/>
      <c r="CA104" s="468"/>
      <c r="CB104" s="468"/>
      <c r="CC104" s="467"/>
      <c r="CD104" s="468"/>
      <c r="CE104" s="469"/>
      <c r="CF104" s="467"/>
      <c r="CG104" s="468"/>
      <c r="CH104" s="468"/>
      <c r="CI104" s="467"/>
      <c r="CJ104" s="468"/>
      <c r="CK104" s="469"/>
    </row>
    <row r="105" spans="5:89" x14ac:dyDescent="0.2">
      <c r="E105" s="233" t="s">
        <v>46</v>
      </c>
      <c r="F105" s="296">
        <v>5.5</v>
      </c>
      <c r="G105" s="31">
        <v>20</v>
      </c>
      <c r="H105" s="31">
        <v>-89</v>
      </c>
      <c r="I105" s="6">
        <v>18</v>
      </c>
      <c r="J105" s="47">
        <v>18</v>
      </c>
      <c r="K105" s="100">
        <v>-88</v>
      </c>
      <c r="L105" s="470"/>
      <c r="M105" s="471"/>
      <c r="N105" s="471"/>
      <c r="O105" s="470"/>
      <c r="P105" s="471"/>
      <c r="Q105" s="684"/>
      <c r="R105" s="681"/>
      <c r="S105" s="471"/>
      <c r="T105" s="471"/>
      <c r="U105" s="470"/>
      <c r="V105" s="471"/>
      <c r="W105" s="472"/>
      <c r="X105" s="470"/>
      <c r="Y105" s="471"/>
      <c r="Z105" s="471"/>
      <c r="AA105" s="470"/>
      <c r="AB105" s="471"/>
      <c r="AC105" s="472"/>
      <c r="AD105" s="470"/>
      <c r="AE105" s="471"/>
      <c r="AF105" s="471"/>
      <c r="AG105" s="470"/>
      <c r="AH105" s="471"/>
      <c r="AI105" s="472"/>
      <c r="AJ105" s="470"/>
      <c r="AK105" s="471"/>
      <c r="AL105" s="471"/>
      <c r="AM105" s="470"/>
      <c r="AN105" s="471"/>
      <c r="AO105" s="472"/>
      <c r="AP105" s="470"/>
      <c r="AQ105" s="471"/>
      <c r="AR105" s="471"/>
      <c r="AS105" s="470"/>
      <c r="AT105" s="471"/>
      <c r="AU105" s="472"/>
      <c r="AV105" s="470"/>
      <c r="AW105" s="471"/>
      <c r="AX105" s="471"/>
      <c r="AY105" s="470"/>
      <c r="AZ105" s="471"/>
      <c r="BA105" s="472"/>
      <c r="BB105" s="470"/>
      <c r="BC105" s="471"/>
      <c r="BD105" s="471"/>
      <c r="BE105" s="470"/>
      <c r="BF105" s="471"/>
      <c r="BG105" s="472"/>
      <c r="BH105" s="470"/>
      <c r="BI105" s="471"/>
      <c r="BJ105" s="471"/>
      <c r="BK105" s="470"/>
      <c r="BL105" s="471"/>
      <c r="BM105" s="472"/>
      <c r="BN105" s="470"/>
      <c r="BO105" s="471"/>
      <c r="BP105" s="471"/>
      <c r="BQ105" s="470"/>
      <c r="BR105" s="471"/>
      <c r="BS105" s="472"/>
      <c r="BT105" s="470"/>
      <c r="BU105" s="471"/>
      <c r="BV105" s="471"/>
      <c r="BW105" s="470"/>
      <c r="BX105" s="471"/>
      <c r="BY105" s="472"/>
      <c r="BZ105" s="470"/>
      <c r="CA105" s="471"/>
      <c r="CB105" s="471"/>
      <c r="CC105" s="470"/>
      <c r="CD105" s="471"/>
      <c r="CE105" s="472"/>
      <c r="CF105" s="470"/>
      <c r="CG105" s="471"/>
      <c r="CH105" s="471"/>
      <c r="CI105" s="470"/>
      <c r="CJ105" s="471"/>
      <c r="CK105" s="472"/>
    </row>
    <row r="106" spans="5:89" x14ac:dyDescent="0.2">
      <c r="E106" s="31"/>
      <c r="F106" s="297">
        <v>6</v>
      </c>
      <c r="G106" s="31">
        <v>19</v>
      </c>
      <c r="H106" s="31">
        <v>-92</v>
      </c>
      <c r="I106" s="6">
        <v>24</v>
      </c>
      <c r="J106" s="47">
        <v>18</v>
      </c>
      <c r="K106" s="100">
        <v>-87</v>
      </c>
      <c r="L106" s="470"/>
      <c r="M106" s="471"/>
      <c r="N106" s="471"/>
      <c r="O106" s="470"/>
      <c r="P106" s="471"/>
      <c r="Q106" s="684"/>
      <c r="R106" s="681"/>
      <c r="S106" s="471"/>
      <c r="T106" s="471"/>
      <c r="U106" s="470"/>
      <c r="V106" s="471"/>
      <c r="W106" s="472"/>
      <c r="X106" s="470"/>
      <c r="Y106" s="471"/>
      <c r="Z106" s="471"/>
      <c r="AA106" s="470"/>
      <c r="AB106" s="471"/>
      <c r="AC106" s="472"/>
      <c r="AD106" s="470"/>
      <c r="AE106" s="471"/>
      <c r="AF106" s="471"/>
      <c r="AG106" s="470"/>
      <c r="AH106" s="471"/>
      <c r="AI106" s="472"/>
      <c r="AJ106" s="470"/>
      <c r="AK106" s="471"/>
      <c r="AL106" s="471"/>
      <c r="AM106" s="470"/>
      <c r="AN106" s="471"/>
      <c r="AO106" s="472"/>
      <c r="AP106" s="470"/>
      <c r="AQ106" s="471"/>
      <c r="AR106" s="471"/>
      <c r="AS106" s="470"/>
      <c r="AT106" s="471"/>
      <c r="AU106" s="472"/>
      <c r="AV106" s="470"/>
      <c r="AW106" s="471"/>
      <c r="AX106" s="471"/>
      <c r="AY106" s="470"/>
      <c r="AZ106" s="471"/>
      <c r="BA106" s="472"/>
      <c r="BB106" s="470"/>
      <c r="BC106" s="471"/>
      <c r="BD106" s="471"/>
      <c r="BE106" s="470"/>
      <c r="BF106" s="471"/>
      <c r="BG106" s="472"/>
      <c r="BH106" s="470"/>
      <c r="BI106" s="471"/>
      <c r="BJ106" s="471"/>
      <c r="BK106" s="470"/>
      <c r="BL106" s="471"/>
      <c r="BM106" s="472"/>
      <c r="BN106" s="470"/>
      <c r="BO106" s="471"/>
      <c r="BP106" s="471"/>
      <c r="BQ106" s="470"/>
      <c r="BR106" s="471"/>
      <c r="BS106" s="472"/>
      <c r="BT106" s="470"/>
      <c r="BU106" s="471"/>
      <c r="BV106" s="471"/>
      <c r="BW106" s="470"/>
      <c r="BX106" s="471"/>
      <c r="BY106" s="472"/>
      <c r="BZ106" s="470"/>
      <c r="CA106" s="471"/>
      <c r="CB106" s="471"/>
      <c r="CC106" s="470"/>
      <c r="CD106" s="471"/>
      <c r="CE106" s="472"/>
      <c r="CF106" s="470"/>
      <c r="CG106" s="471"/>
      <c r="CH106" s="471"/>
      <c r="CI106" s="470"/>
      <c r="CJ106" s="471"/>
      <c r="CK106" s="472"/>
    </row>
    <row r="107" spans="5:89" x14ac:dyDescent="0.2">
      <c r="E107" s="31"/>
      <c r="F107" s="297">
        <v>9</v>
      </c>
      <c r="G107" s="31">
        <v>19</v>
      </c>
      <c r="H107" s="31">
        <v>-91</v>
      </c>
      <c r="I107" s="6">
        <v>36</v>
      </c>
      <c r="J107" s="47">
        <v>18</v>
      </c>
      <c r="K107" s="100">
        <v>-85</v>
      </c>
      <c r="L107" s="470"/>
      <c r="M107" s="471"/>
      <c r="N107" s="471"/>
      <c r="O107" s="470"/>
      <c r="P107" s="471"/>
      <c r="Q107" s="684"/>
      <c r="R107" s="681"/>
      <c r="S107" s="471"/>
      <c r="T107" s="471"/>
      <c r="U107" s="470"/>
      <c r="V107" s="471"/>
      <c r="W107" s="472"/>
      <c r="X107" s="470"/>
      <c r="Y107" s="471"/>
      <c r="Z107" s="471"/>
      <c r="AA107" s="470"/>
      <c r="AB107" s="471"/>
      <c r="AC107" s="472"/>
      <c r="AD107" s="470"/>
      <c r="AE107" s="471"/>
      <c r="AF107" s="471"/>
      <c r="AG107" s="470"/>
      <c r="AH107" s="471"/>
      <c r="AI107" s="472"/>
      <c r="AJ107" s="470"/>
      <c r="AK107" s="471"/>
      <c r="AL107" s="471"/>
      <c r="AM107" s="470"/>
      <c r="AN107" s="471"/>
      <c r="AO107" s="472"/>
      <c r="AP107" s="470"/>
      <c r="AQ107" s="471"/>
      <c r="AR107" s="471"/>
      <c r="AS107" s="470"/>
      <c r="AT107" s="471"/>
      <c r="AU107" s="472"/>
      <c r="AV107" s="470"/>
      <c r="AW107" s="471"/>
      <c r="AX107" s="471"/>
      <c r="AY107" s="470"/>
      <c r="AZ107" s="471"/>
      <c r="BA107" s="472"/>
      <c r="BB107" s="470"/>
      <c r="BC107" s="471"/>
      <c r="BD107" s="471"/>
      <c r="BE107" s="470"/>
      <c r="BF107" s="471"/>
      <c r="BG107" s="472"/>
      <c r="BH107" s="470"/>
      <c r="BI107" s="471"/>
      <c r="BJ107" s="471"/>
      <c r="BK107" s="470"/>
      <c r="BL107" s="471"/>
      <c r="BM107" s="472"/>
      <c r="BN107" s="470"/>
      <c r="BO107" s="471"/>
      <c r="BP107" s="471"/>
      <c r="BQ107" s="470"/>
      <c r="BR107" s="471"/>
      <c r="BS107" s="472"/>
      <c r="BT107" s="470"/>
      <c r="BU107" s="471"/>
      <c r="BV107" s="471"/>
      <c r="BW107" s="470"/>
      <c r="BX107" s="471"/>
      <c r="BY107" s="472"/>
      <c r="BZ107" s="470"/>
      <c r="CA107" s="471"/>
      <c r="CB107" s="471"/>
      <c r="CC107" s="470"/>
      <c r="CD107" s="471"/>
      <c r="CE107" s="472"/>
      <c r="CF107" s="470"/>
      <c r="CG107" s="471"/>
      <c r="CH107" s="471"/>
      <c r="CI107" s="470"/>
      <c r="CJ107" s="471"/>
      <c r="CK107" s="472"/>
    </row>
    <row r="108" spans="5:89" x14ac:dyDescent="0.2">
      <c r="E108" s="31"/>
      <c r="F108" s="297">
        <v>11</v>
      </c>
      <c r="G108" s="31">
        <v>20</v>
      </c>
      <c r="H108" s="31">
        <v>-85</v>
      </c>
      <c r="I108" s="6">
        <v>48</v>
      </c>
      <c r="J108" s="47">
        <v>18</v>
      </c>
      <c r="K108" s="100">
        <v>-83</v>
      </c>
      <c r="L108" s="470"/>
      <c r="M108" s="471"/>
      <c r="N108" s="471"/>
      <c r="O108" s="470"/>
      <c r="P108" s="471"/>
      <c r="Q108" s="684"/>
      <c r="R108" s="681"/>
      <c r="S108" s="471"/>
      <c r="T108" s="471"/>
      <c r="U108" s="470"/>
      <c r="V108" s="471"/>
      <c r="W108" s="472"/>
      <c r="X108" s="470"/>
      <c r="Y108" s="471"/>
      <c r="Z108" s="471"/>
      <c r="AA108" s="470"/>
      <c r="AB108" s="471"/>
      <c r="AC108" s="472"/>
      <c r="AD108" s="470"/>
      <c r="AE108" s="471"/>
      <c r="AF108" s="471"/>
      <c r="AG108" s="470"/>
      <c r="AH108" s="471"/>
      <c r="AI108" s="472"/>
      <c r="AJ108" s="470"/>
      <c r="AK108" s="471"/>
      <c r="AL108" s="471"/>
      <c r="AM108" s="470"/>
      <c r="AN108" s="471"/>
      <c r="AO108" s="472"/>
      <c r="AP108" s="470"/>
      <c r="AQ108" s="471"/>
      <c r="AR108" s="471"/>
      <c r="AS108" s="470"/>
      <c r="AT108" s="471"/>
      <c r="AU108" s="472"/>
      <c r="AV108" s="470"/>
      <c r="AW108" s="471"/>
      <c r="AX108" s="471"/>
      <c r="AY108" s="470"/>
      <c r="AZ108" s="471"/>
      <c r="BA108" s="472"/>
      <c r="BB108" s="470"/>
      <c r="BC108" s="471"/>
      <c r="BD108" s="471"/>
      <c r="BE108" s="470"/>
      <c r="BF108" s="471"/>
      <c r="BG108" s="472"/>
      <c r="BH108" s="470"/>
      <c r="BI108" s="471"/>
      <c r="BJ108" s="471"/>
      <c r="BK108" s="470"/>
      <c r="BL108" s="471"/>
      <c r="BM108" s="472"/>
      <c r="BN108" s="470"/>
      <c r="BO108" s="471"/>
      <c r="BP108" s="471"/>
      <c r="BQ108" s="470"/>
      <c r="BR108" s="471"/>
      <c r="BS108" s="472"/>
      <c r="BT108" s="470"/>
      <c r="BU108" s="471"/>
      <c r="BV108" s="471"/>
      <c r="BW108" s="470"/>
      <c r="BX108" s="471"/>
      <c r="BY108" s="472"/>
      <c r="BZ108" s="470"/>
      <c r="CA108" s="471"/>
      <c r="CB108" s="471"/>
      <c r="CC108" s="470"/>
      <c r="CD108" s="471"/>
      <c r="CE108" s="472"/>
      <c r="CF108" s="470"/>
      <c r="CG108" s="471"/>
      <c r="CH108" s="471"/>
      <c r="CI108" s="470"/>
      <c r="CJ108" s="471"/>
      <c r="CK108" s="472"/>
    </row>
    <row r="109" spans="5:89" x14ac:dyDescent="0.2">
      <c r="E109" s="31"/>
      <c r="F109" s="297">
        <v>12</v>
      </c>
      <c r="G109" s="31">
        <v>19</v>
      </c>
      <c r="H109" s="31">
        <v>-90</v>
      </c>
      <c r="I109" s="6">
        <v>72</v>
      </c>
      <c r="J109" s="47">
        <v>17</v>
      </c>
      <c r="K109" s="100">
        <v>-79</v>
      </c>
      <c r="L109" s="470"/>
      <c r="M109" s="471"/>
      <c r="N109" s="471"/>
      <c r="O109" s="470"/>
      <c r="P109" s="471"/>
      <c r="Q109" s="684"/>
      <c r="R109" s="681"/>
      <c r="S109" s="471"/>
      <c r="T109" s="471"/>
      <c r="U109" s="470"/>
      <c r="V109" s="471"/>
      <c r="W109" s="472"/>
      <c r="X109" s="470"/>
      <c r="Y109" s="471"/>
      <c r="Z109" s="471"/>
      <c r="AA109" s="470"/>
      <c r="AB109" s="471"/>
      <c r="AC109" s="472"/>
      <c r="AD109" s="470"/>
      <c r="AE109" s="471"/>
      <c r="AF109" s="471"/>
      <c r="AG109" s="470"/>
      <c r="AH109" s="471"/>
      <c r="AI109" s="472"/>
      <c r="AJ109" s="470"/>
      <c r="AK109" s="471"/>
      <c r="AL109" s="471"/>
      <c r="AM109" s="470"/>
      <c r="AN109" s="471"/>
      <c r="AO109" s="472"/>
      <c r="AP109" s="470"/>
      <c r="AQ109" s="471"/>
      <c r="AR109" s="471"/>
      <c r="AS109" s="470"/>
      <c r="AT109" s="471"/>
      <c r="AU109" s="472"/>
      <c r="AV109" s="470"/>
      <c r="AW109" s="471"/>
      <c r="AX109" s="471"/>
      <c r="AY109" s="470"/>
      <c r="AZ109" s="471"/>
      <c r="BA109" s="472"/>
      <c r="BB109" s="470"/>
      <c r="BC109" s="471"/>
      <c r="BD109" s="471"/>
      <c r="BE109" s="470"/>
      <c r="BF109" s="471"/>
      <c r="BG109" s="472"/>
      <c r="BH109" s="470"/>
      <c r="BI109" s="471"/>
      <c r="BJ109" s="471"/>
      <c r="BK109" s="470"/>
      <c r="BL109" s="471"/>
      <c r="BM109" s="472"/>
      <c r="BN109" s="470"/>
      <c r="BO109" s="471"/>
      <c r="BP109" s="471"/>
      <c r="BQ109" s="470"/>
      <c r="BR109" s="471"/>
      <c r="BS109" s="472"/>
      <c r="BT109" s="470"/>
      <c r="BU109" s="471"/>
      <c r="BV109" s="471"/>
      <c r="BW109" s="470"/>
      <c r="BX109" s="471"/>
      <c r="BY109" s="472"/>
      <c r="BZ109" s="470"/>
      <c r="CA109" s="471"/>
      <c r="CB109" s="471"/>
      <c r="CC109" s="470"/>
      <c r="CD109" s="471"/>
      <c r="CE109" s="472"/>
      <c r="CF109" s="470"/>
      <c r="CG109" s="471"/>
      <c r="CH109" s="471"/>
      <c r="CI109" s="470"/>
      <c r="CJ109" s="471"/>
      <c r="CK109" s="472"/>
    </row>
    <row r="110" spans="5:89" x14ac:dyDescent="0.2">
      <c r="E110" s="31"/>
      <c r="F110" s="297">
        <v>18</v>
      </c>
      <c r="G110" s="31">
        <v>19</v>
      </c>
      <c r="H110" s="31">
        <v>-88</v>
      </c>
      <c r="I110" s="6">
        <v>96</v>
      </c>
      <c r="J110" s="47">
        <v>16</v>
      </c>
      <c r="K110" s="100">
        <v>-75</v>
      </c>
      <c r="L110" s="470"/>
      <c r="M110" s="471"/>
      <c r="N110" s="471"/>
      <c r="O110" s="470"/>
      <c r="P110" s="471"/>
      <c r="Q110" s="684"/>
      <c r="R110" s="681"/>
      <c r="S110" s="471"/>
      <c r="T110" s="471"/>
      <c r="U110" s="470"/>
      <c r="V110" s="471"/>
      <c r="W110" s="472"/>
      <c r="X110" s="470"/>
      <c r="Y110" s="471"/>
      <c r="Z110" s="471"/>
      <c r="AA110" s="470"/>
      <c r="AB110" s="471"/>
      <c r="AC110" s="472"/>
      <c r="AD110" s="470"/>
      <c r="AE110" s="471"/>
      <c r="AF110" s="471"/>
      <c r="AG110" s="470"/>
      <c r="AH110" s="471"/>
      <c r="AI110" s="472"/>
      <c r="AJ110" s="470"/>
      <c r="AK110" s="471"/>
      <c r="AL110" s="471"/>
      <c r="AM110" s="470"/>
      <c r="AN110" s="471"/>
      <c r="AO110" s="472"/>
      <c r="AP110" s="470"/>
      <c r="AQ110" s="471"/>
      <c r="AR110" s="471"/>
      <c r="AS110" s="470"/>
      <c r="AT110" s="471"/>
      <c r="AU110" s="472"/>
      <c r="AV110" s="470"/>
      <c r="AW110" s="471"/>
      <c r="AX110" s="471"/>
      <c r="AY110" s="470"/>
      <c r="AZ110" s="471"/>
      <c r="BA110" s="472"/>
      <c r="BB110" s="470"/>
      <c r="BC110" s="471"/>
      <c r="BD110" s="471"/>
      <c r="BE110" s="470"/>
      <c r="BF110" s="471"/>
      <c r="BG110" s="472"/>
      <c r="BH110" s="470"/>
      <c r="BI110" s="471"/>
      <c r="BJ110" s="471"/>
      <c r="BK110" s="470"/>
      <c r="BL110" s="471"/>
      <c r="BM110" s="472"/>
      <c r="BN110" s="470"/>
      <c r="BO110" s="471"/>
      <c r="BP110" s="471"/>
      <c r="BQ110" s="470"/>
      <c r="BR110" s="471"/>
      <c r="BS110" s="472"/>
      <c r="BT110" s="470"/>
      <c r="BU110" s="471"/>
      <c r="BV110" s="471"/>
      <c r="BW110" s="470"/>
      <c r="BX110" s="471"/>
      <c r="BY110" s="472"/>
      <c r="BZ110" s="470"/>
      <c r="CA110" s="471"/>
      <c r="CB110" s="471"/>
      <c r="CC110" s="470"/>
      <c r="CD110" s="471"/>
      <c r="CE110" s="472"/>
      <c r="CF110" s="470"/>
      <c r="CG110" s="471"/>
      <c r="CH110" s="471"/>
      <c r="CI110" s="470"/>
      <c r="CJ110" s="471"/>
      <c r="CK110" s="472"/>
    </row>
    <row r="111" spans="5:89" x14ac:dyDescent="0.2">
      <c r="E111" s="31"/>
      <c r="F111" s="297">
        <v>24</v>
      </c>
      <c r="G111" s="31">
        <v>19</v>
      </c>
      <c r="H111" s="31">
        <v>-86</v>
      </c>
      <c r="I111" s="6">
        <v>108</v>
      </c>
      <c r="J111" s="47">
        <v>15</v>
      </c>
      <c r="K111" s="100">
        <v>-70</v>
      </c>
      <c r="L111" s="470"/>
      <c r="M111" s="471"/>
      <c r="N111" s="471"/>
      <c r="O111" s="470"/>
      <c r="P111" s="471"/>
      <c r="Q111" s="684"/>
      <c r="R111" s="681"/>
      <c r="S111" s="471"/>
      <c r="T111" s="471"/>
      <c r="U111" s="470"/>
      <c r="V111" s="471"/>
      <c r="W111" s="472"/>
      <c r="X111" s="470"/>
      <c r="Y111" s="471"/>
      <c r="Z111" s="471"/>
      <c r="AA111" s="470"/>
      <c r="AB111" s="471"/>
      <c r="AC111" s="472"/>
      <c r="AD111" s="470"/>
      <c r="AE111" s="471"/>
      <c r="AF111" s="471"/>
      <c r="AG111" s="470"/>
      <c r="AH111" s="471"/>
      <c r="AI111" s="472"/>
      <c r="AJ111" s="470"/>
      <c r="AK111" s="471"/>
      <c r="AL111" s="471"/>
      <c r="AM111" s="470"/>
      <c r="AN111" s="471"/>
      <c r="AO111" s="472"/>
      <c r="AP111" s="470"/>
      <c r="AQ111" s="471"/>
      <c r="AR111" s="471"/>
      <c r="AS111" s="470"/>
      <c r="AT111" s="471"/>
      <c r="AU111" s="472"/>
      <c r="AV111" s="470"/>
      <c r="AW111" s="471"/>
      <c r="AX111" s="471"/>
      <c r="AY111" s="470"/>
      <c r="AZ111" s="471"/>
      <c r="BA111" s="472"/>
      <c r="BB111" s="470"/>
      <c r="BC111" s="471"/>
      <c r="BD111" s="471"/>
      <c r="BE111" s="470"/>
      <c r="BF111" s="471"/>
      <c r="BG111" s="472"/>
      <c r="BH111" s="470"/>
      <c r="BI111" s="471"/>
      <c r="BJ111" s="471"/>
      <c r="BK111" s="470"/>
      <c r="BL111" s="471"/>
      <c r="BM111" s="472"/>
      <c r="BN111" s="470"/>
      <c r="BO111" s="471"/>
      <c r="BP111" s="471"/>
      <c r="BQ111" s="470"/>
      <c r="BR111" s="471"/>
      <c r="BS111" s="472"/>
      <c r="BT111" s="470"/>
      <c r="BU111" s="471"/>
      <c r="BV111" s="471"/>
      <c r="BW111" s="470"/>
      <c r="BX111" s="471"/>
      <c r="BY111" s="472"/>
      <c r="BZ111" s="470"/>
      <c r="CA111" s="471"/>
      <c r="CB111" s="471"/>
      <c r="CC111" s="470"/>
      <c r="CD111" s="471"/>
      <c r="CE111" s="472"/>
      <c r="CF111" s="470"/>
      <c r="CG111" s="471"/>
      <c r="CH111" s="471"/>
      <c r="CI111" s="470"/>
      <c r="CJ111" s="471"/>
      <c r="CK111" s="472"/>
    </row>
    <row r="112" spans="5:89" x14ac:dyDescent="0.2">
      <c r="E112" s="31"/>
      <c r="F112" s="297">
        <v>36</v>
      </c>
      <c r="G112" s="31">
        <v>18</v>
      </c>
      <c r="H112" s="31">
        <v>-82</v>
      </c>
      <c r="I112" s="6"/>
      <c r="J112" s="2"/>
      <c r="K112" s="10"/>
      <c r="L112" s="470"/>
      <c r="M112" s="471"/>
      <c r="N112" s="471"/>
      <c r="O112" s="470"/>
      <c r="P112" s="471"/>
      <c r="Q112" s="684"/>
      <c r="R112" s="681"/>
      <c r="S112" s="471"/>
      <c r="T112" s="471"/>
      <c r="U112" s="470"/>
      <c r="V112" s="471"/>
      <c r="W112" s="472"/>
      <c r="X112" s="470"/>
      <c r="Y112" s="471"/>
      <c r="Z112" s="471"/>
      <c r="AA112" s="470"/>
      <c r="AB112" s="471"/>
      <c r="AC112" s="472"/>
      <c r="AD112" s="470"/>
      <c r="AE112" s="471"/>
      <c r="AF112" s="471"/>
      <c r="AG112" s="470"/>
      <c r="AH112" s="471"/>
      <c r="AI112" s="472"/>
      <c r="AJ112" s="470"/>
      <c r="AK112" s="471"/>
      <c r="AL112" s="471"/>
      <c r="AM112" s="470"/>
      <c r="AN112" s="471"/>
      <c r="AO112" s="472"/>
      <c r="AP112" s="470"/>
      <c r="AQ112" s="471"/>
      <c r="AR112" s="471"/>
      <c r="AS112" s="470"/>
      <c r="AT112" s="471"/>
      <c r="AU112" s="472"/>
      <c r="AV112" s="470"/>
      <c r="AW112" s="471"/>
      <c r="AX112" s="471"/>
      <c r="AY112" s="470"/>
      <c r="AZ112" s="471"/>
      <c r="BA112" s="472"/>
      <c r="BB112" s="470"/>
      <c r="BC112" s="471"/>
      <c r="BD112" s="471"/>
      <c r="BE112" s="470"/>
      <c r="BF112" s="471"/>
      <c r="BG112" s="472"/>
      <c r="BH112" s="470"/>
      <c r="BI112" s="471"/>
      <c r="BJ112" s="471"/>
      <c r="BK112" s="470"/>
      <c r="BL112" s="471"/>
      <c r="BM112" s="472"/>
      <c r="BN112" s="470"/>
      <c r="BO112" s="471"/>
      <c r="BP112" s="471"/>
      <c r="BQ112" s="470"/>
      <c r="BR112" s="471"/>
      <c r="BS112" s="472"/>
      <c r="BT112" s="470"/>
      <c r="BU112" s="471"/>
      <c r="BV112" s="471"/>
      <c r="BW112" s="470"/>
      <c r="BX112" s="471"/>
      <c r="BY112" s="472"/>
      <c r="BZ112" s="470"/>
      <c r="CA112" s="471"/>
      <c r="CB112" s="471"/>
      <c r="CC112" s="470"/>
      <c r="CD112" s="471"/>
      <c r="CE112" s="472"/>
      <c r="CF112" s="470"/>
      <c r="CG112" s="471"/>
      <c r="CH112" s="471"/>
      <c r="CI112" s="470"/>
      <c r="CJ112" s="471"/>
      <c r="CK112" s="472"/>
    </row>
    <row r="113" spans="5:89" x14ac:dyDescent="0.2">
      <c r="E113" s="31"/>
      <c r="F113" s="297">
        <v>48</v>
      </c>
      <c r="G113" s="31">
        <v>17</v>
      </c>
      <c r="H113" s="31">
        <v>-78</v>
      </c>
      <c r="I113" s="6"/>
      <c r="J113" s="2"/>
      <c r="K113" s="10"/>
      <c r="L113" s="470"/>
      <c r="M113" s="471"/>
      <c r="N113" s="471"/>
      <c r="O113" s="470"/>
      <c r="P113" s="471"/>
      <c r="Q113" s="684"/>
      <c r="R113" s="681"/>
      <c r="S113" s="471"/>
      <c r="T113" s="471"/>
      <c r="U113" s="470"/>
      <c r="V113" s="471"/>
      <c r="W113" s="472"/>
      <c r="X113" s="470"/>
      <c r="Y113" s="471"/>
      <c r="Z113" s="471"/>
      <c r="AA113" s="470"/>
      <c r="AB113" s="471"/>
      <c r="AC113" s="472"/>
      <c r="AD113" s="470"/>
      <c r="AE113" s="471"/>
      <c r="AF113" s="471"/>
      <c r="AG113" s="470"/>
      <c r="AH113" s="471"/>
      <c r="AI113" s="472"/>
      <c r="AJ113" s="470"/>
      <c r="AK113" s="471"/>
      <c r="AL113" s="471"/>
      <c r="AM113" s="470"/>
      <c r="AN113" s="471"/>
      <c r="AO113" s="472"/>
      <c r="AP113" s="470"/>
      <c r="AQ113" s="471"/>
      <c r="AR113" s="471"/>
      <c r="AS113" s="470"/>
      <c r="AT113" s="471"/>
      <c r="AU113" s="472"/>
      <c r="AV113" s="470"/>
      <c r="AW113" s="471"/>
      <c r="AX113" s="471"/>
      <c r="AY113" s="470"/>
      <c r="AZ113" s="471"/>
      <c r="BA113" s="472"/>
      <c r="BB113" s="470"/>
      <c r="BC113" s="471"/>
      <c r="BD113" s="471"/>
      <c r="BE113" s="470"/>
      <c r="BF113" s="471"/>
      <c r="BG113" s="472"/>
      <c r="BH113" s="470"/>
      <c r="BI113" s="471"/>
      <c r="BJ113" s="471"/>
      <c r="BK113" s="470"/>
      <c r="BL113" s="471"/>
      <c r="BM113" s="472"/>
      <c r="BN113" s="470"/>
      <c r="BO113" s="471"/>
      <c r="BP113" s="471"/>
      <c r="BQ113" s="470"/>
      <c r="BR113" s="471"/>
      <c r="BS113" s="472"/>
      <c r="BT113" s="470"/>
      <c r="BU113" s="471"/>
      <c r="BV113" s="471"/>
      <c r="BW113" s="470"/>
      <c r="BX113" s="471"/>
      <c r="BY113" s="472"/>
      <c r="BZ113" s="470"/>
      <c r="CA113" s="471"/>
      <c r="CB113" s="471"/>
      <c r="CC113" s="470"/>
      <c r="CD113" s="471"/>
      <c r="CE113" s="472"/>
      <c r="CF113" s="470"/>
      <c r="CG113" s="471"/>
      <c r="CH113" s="471"/>
      <c r="CI113" s="470"/>
      <c r="CJ113" s="471"/>
      <c r="CK113" s="472"/>
    </row>
    <row r="114" spans="5:89" ht="10.5" thickBot="1" x14ac:dyDescent="0.25">
      <c r="E114" s="31"/>
      <c r="F114" s="298">
        <v>54</v>
      </c>
      <c r="G114" s="303">
        <v>16</v>
      </c>
      <c r="H114" s="303">
        <v>-73</v>
      </c>
      <c r="I114" s="300"/>
      <c r="J114" s="55"/>
      <c r="K114" s="309"/>
      <c r="L114" s="473"/>
      <c r="M114" s="474"/>
      <c r="N114" s="474"/>
      <c r="O114" s="473"/>
      <c r="P114" s="474"/>
      <c r="Q114" s="685"/>
      <c r="R114" s="682"/>
      <c r="S114" s="474"/>
      <c r="T114" s="474"/>
      <c r="U114" s="473"/>
      <c r="V114" s="474"/>
      <c r="W114" s="475"/>
      <c r="X114" s="473"/>
      <c r="Y114" s="474"/>
      <c r="Z114" s="474"/>
      <c r="AA114" s="473"/>
      <c r="AB114" s="474"/>
      <c r="AC114" s="475"/>
      <c r="AD114" s="473"/>
      <c r="AE114" s="474"/>
      <c r="AF114" s="474"/>
      <c r="AG114" s="473"/>
      <c r="AH114" s="474"/>
      <c r="AI114" s="475"/>
      <c r="AJ114" s="473"/>
      <c r="AK114" s="474"/>
      <c r="AL114" s="474"/>
      <c r="AM114" s="473"/>
      <c r="AN114" s="474"/>
      <c r="AO114" s="475"/>
      <c r="AP114" s="473"/>
      <c r="AQ114" s="474"/>
      <c r="AR114" s="474"/>
      <c r="AS114" s="473"/>
      <c r="AT114" s="474"/>
      <c r="AU114" s="475"/>
      <c r="AV114" s="473"/>
      <c r="AW114" s="474"/>
      <c r="AX114" s="474"/>
      <c r="AY114" s="473"/>
      <c r="AZ114" s="474"/>
      <c r="BA114" s="475"/>
      <c r="BB114" s="473"/>
      <c r="BC114" s="474"/>
      <c r="BD114" s="474"/>
      <c r="BE114" s="473"/>
      <c r="BF114" s="474"/>
      <c r="BG114" s="475"/>
      <c r="BH114" s="473"/>
      <c r="BI114" s="474"/>
      <c r="BJ114" s="474"/>
      <c r="BK114" s="473"/>
      <c r="BL114" s="474"/>
      <c r="BM114" s="475"/>
      <c r="BN114" s="473"/>
      <c r="BO114" s="474"/>
      <c r="BP114" s="474"/>
      <c r="BQ114" s="473"/>
      <c r="BR114" s="474"/>
      <c r="BS114" s="475"/>
      <c r="BT114" s="473"/>
      <c r="BU114" s="474"/>
      <c r="BV114" s="474"/>
      <c r="BW114" s="473"/>
      <c r="BX114" s="474"/>
      <c r="BY114" s="475"/>
      <c r="BZ114" s="473"/>
      <c r="CA114" s="474"/>
      <c r="CB114" s="474"/>
      <c r="CC114" s="473"/>
      <c r="CD114" s="474"/>
      <c r="CE114" s="475"/>
      <c r="CF114" s="473"/>
      <c r="CG114" s="474"/>
      <c r="CH114" s="474"/>
      <c r="CI114" s="473"/>
      <c r="CJ114" s="474"/>
      <c r="CK114" s="475"/>
    </row>
    <row r="115" spans="5:89" x14ac:dyDescent="0.2">
      <c r="E115" s="31"/>
      <c r="K115" s="2"/>
      <c r="L115" s="2"/>
      <c r="M115" s="2"/>
      <c r="N115" s="2"/>
      <c r="O115" s="2"/>
      <c r="P115" s="2"/>
      <c r="Q115" s="2"/>
      <c r="R115" s="2"/>
      <c r="S115" s="31"/>
      <c r="T115" s="31"/>
      <c r="U115" s="31"/>
      <c r="V115" s="2"/>
      <c r="W115" s="2"/>
      <c r="X115" s="2"/>
      <c r="Y115" s="2"/>
      <c r="Z115" s="2"/>
      <c r="AA115" s="2"/>
      <c r="AB115" s="2"/>
      <c r="AC115" s="2"/>
      <c r="AJ115" s="2"/>
      <c r="AK115" s="2"/>
      <c r="AL115" s="2"/>
      <c r="AM115" s="2"/>
      <c r="AN115" s="2"/>
      <c r="AO115" s="2"/>
      <c r="AV115" s="2"/>
      <c r="AW115" s="2"/>
      <c r="AX115" s="2"/>
      <c r="AY115" s="2"/>
      <c r="AZ115" s="2"/>
      <c r="BA115" s="2"/>
      <c r="BH115" s="2"/>
      <c r="BI115" s="2"/>
      <c r="BJ115" s="2"/>
      <c r="BK115" s="2"/>
      <c r="BL115" s="2"/>
      <c r="BM115" s="2"/>
      <c r="BT115" s="2"/>
      <c r="BU115" s="2"/>
      <c r="BV115" s="2"/>
      <c r="BW115" s="2"/>
      <c r="BX115" s="2"/>
      <c r="BY115" s="2"/>
    </row>
    <row r="116" spans="5:89" ht="10.5" x14ac:dyDescent="0.25">
      <c r="F116" s="26" t="s">
        <v>0</v>
      </c>
      <c r="G116" s="26"/>
      <c r="H116" s="26"/>
      <c r="I116" s="26"/>
      <c r="J116" s="26"/>
      <c r="K116" s="26"/>
      <c r="L116" s="2"/>
      <c r="M116" s="2"/>
      <c r="N116" s="2"/>
      <c r="O116" s="2"/>
      <c r="P116" s="2"/>
      <c r="Q116" s="2"/>
      <c r="R116" s="26" t="s">
        <v>1</v>
      </c>
      <c r="S116" s="25"/>
      <c r="T116" s="25"/>
      <c r="U116" s="25"/>
      <c r="X116" s="2"/>
      <c r="Y116" s="2"/>
      <c r="Z116" s="2"/>
      <c r="AA116" s="2"/>
      <c r="AB116" s="2"/>
      <c r="AC116" s="2"/>
      <c r="AD116" s="852" t="s">
        <v>353</v>
      </c>
      <c r="AE116" s="852"/>
      <c r="AF116" s="852"/>
      <c r="AG116" s="852"/>
      <c r="AJ116" s="2"/>
      <c r="AK116" s="2"/>
      <c r="AL116" s="2"/>
      <c r="AM116" s="2"/>
      <c r="AN116" s="2"/>
      <c r="AO116" s="2"/>
      <c r="AP116" s="852" t="s">
        <v>352</v>
      </c>
      <c r="AQ116" s="852"/>
      <c r="AR116" s="852"/>
      <c r="AS116" s="852"/>
      <c r="AV116" s="2"/>
      <c r="AW116" s="2"/>
      <c r="AX116" s="2"/>
      <c r="AY116" s="2"/>
      <c r="AZ116" s="2"/>
      <c r="BA116" s="2"/>
      <c r="BB116" s="44" t="s">
        <v>223</v>
      </c>
      <c r="BH116" s="2"/>
      <c r="BI116" s="2"/>
      <c r="BJ116" s="2"/>
      <c r="BK116" s="2"/>
      <c r="BL116" s="2"/>
      <c r="BM116" s="2"/>
      <c r="BN116" s="44" t="s">
        <v>351</v>
      </c>
      <c r="BT116" s="2"/>
      <c r="BU116" s="2"/>
      <c r="BV116" s="2"/>
      <c r="BW116" s="2"/>
      <c r="BX116" s="2"/>
      <c r="BY116" s="2"/>
      <c r="BZ116" s="44" t="s">
        <v>515</v>
      </c>
      <c r="CF116" s="2"/>
      <c r="CG116" s="2"/>
      <c r="CH116" s="2"/>
      <c r="CI116" s="2"/>
      <c r="CJ116" s="2"/>
      <c r="CK116" s="2"/>
    </row>
    <row r="117" spans="5:89" ht="11" thickBot="1" x14ac:dyDescent="0.3">
      <c r="F117" s="26" t="s">
        <v>113</v>
      </c>
      <c r="G117" s="26" t="s">
        <v>108</v>
      </c>
      <c r="H117" s="26" t="s">
        <v>109</v>
      </c>
      <c r="I117" s="26" t="s">
        <v>110</v>
      </c>
      <c r="J117" s="26" t="s">
        <v>111</v>
      </c>
      <c r="K117" s="26" t="s">
        <v>112</v>
      </c>
      <c r="L117" s="2"/>
      <c r="M117" s="2"/>
      <c r="N117" s="2"/>
      <c r="O117" s="2"/>
      <c r="P117" s="2"/>
      <c r="Q117" s="2"/>
      <c r="R117" s="26" t="s">
        <v>113</v>
      </c>
      <c r="S117" s="159" t="s">
        <v>108</v>
      </c>
      <c r="T117" s="159" t="s">
        <v>109</v>
      </c>
      <c r="U117" s="26" t="s">
        <v>110</v>
      </c>
      <c r="V117" s="26" t="s">
        <v>111</v>
      </c>
      <c r="W117" s="26" t="s">
        <v>112</v>
      </c>
      <c r="X117" s="2"/>
      <c r="Y117" s="2"/>
      <c r="Z117" s="2"/>
      <c r="AA117" s="2"/>
      <c r="AB117" s="2"/>
      <c r="AC117" s="2"/>
      <c r="AD117" s="102" t="s">
        <v>88</v>
      </c>
      <c r="AE117" s="102" t="s">
        <v>83</v>
      </c>
      <c r="AF117" s="102" t="s">
        <v>84</v>
      </c>
      <c r="AG117" s="102" t="s">
        <v>87</v>
      </c>
      <c r="AH117" s="102" t="s">
        <v>85</v>
      </c>
      <c r="AI117" s="102" t="s">
        <v>86</v>
      </c>
      <c r="AJ117" s="2"/>
      <c r="AK117" s="2"/>
      <c r="AL117" s="2"/>
      <c r="AM117" s="2"/>
      <c r="AN117" s="2"/>
      <c r="AO117" s="2"/>
      <c r="AP117" s="102" t="s">
        <v>88</v>
      </c>
      <c r="AQ117" s="102" t="s">
        <v>83</v>
      </c>
      <c r="AR117" s="102" t="s">
        <v>84</v>
      </c>
      <c r="AS117" s="102" t="s">
        <v>87</v>
      </c>
      <c r="AT117" s="102" t="s">
        <v>85</v>
      </c>
      <c r="AU117" s="102" t="s">
        <v>86</v>
      </c>
      <c r="AV117" s="2"/>
      <c r="AW117" s="2"/>
      <c r="AX117" s="2"/>
      <c r="AY117" s="2"/>
      <c r="AZ117" s="2"/>
      <c r="BA117" s="2"/>
      <c r="BB117" s="102" t="s">
        <v>88</v>
      </c>
      <c r="BC117" s="102" t="s">
        <v>83</v>
      </c>
      <c r="BD117" s="102" t="s">
        <v>84</v>
      </c>
      <c r="BE117" s="102" t="s">
        <v>87</v>
      </c>
      <c r="BF117" s="102" t="s">
        <v>85</v>
      </c>
      <c r="BG117" s="102" t="s">
        <v>86</v>
      </c>
      <c r="BH117" s="2"/>
      <c r="BI117" s="2"/>
      <c r="BJ117" s="2"/>
      <c r="BK117" s="2"/>
      <c r="BL117" s="2"/>
      <c r="BM117" s="2"/>
      <c r="BN117" s="102" t="s">
        <v>88</v>
      </c>
      <c r="BO117" s="102" t="s">
        <v>83</v>
      </c>
      <c r="BP117" s="102" t="s">
        <v>84</v>
      </c>
      <c r="BQ117" s="102" t="s">
        <v>87</v>
      </c>
      <c r="BR117" s="102" t="s">
        <v>85</v>
      </c>
      <c r="BS117" s="102" t="s">
        <v>86</v>
      </c>
      <c r="BT117" s="2"/>
      <c r="BU117" s="2"/>
      <c r="BV117" s="2"/>
      <c r="BW117" s="2"/>
      <c r="BX117" s="2"/>
      <c r="BY117" s="2"/>
      <c r="BZ117" s="102" t="s">
        <v>88</v>
      </c>
      <c r="CA117" s="102" t="s">
        <v>83</v>
      </c>
      <c r="CB117" s="102" t="s">
        <v>84</v>
      </c>
      <c r="CC117" s="102" t="s">
        <v>87</v>
      </c>
      <c r="CD117" s="102" t="s">
        <v>85</v>
      </c>
      <c r="CE117" s="102" t="s">
        <v>86</v>
      </c>
      <c r="CF117" s="102" t="s">
        <v>512</v>
      </c>
      <c r="CG117" s="102" t="s">
        <v>514</v>
      </c>
      <c r="CH117" s="102" t="s">
        <v>513</v>
      </c>
      <c r="CI117" s="102" t="s">
        <v>516</v>
      </c>
      <c r="CJ117" s="102" t="s">
        <v>517</v>
      </c>
      <c r="CK117" s="102" t="s">
        <v>518</v>
      </c>
    </row>
    <row r="118" spans="5:89" x14ac:dyDescent="0.2">
      <c r="E118" s="1" t="s">
        <v>78</v>
      </c>
      <c r="F118" s="293">
        <v>1</v>
      </c>
      <c r="G118" s="306">
        <v>19</v>
      </c>
      <c r="H118" s="50">
        <v>-92</v>
      </c>
      <c r="I118" s="295">
        <v>12</v>
      </c>
      <c r="J118" s="410">
        <v>16.5</v>
      </c>
      <c r="K118" s="411">
        <v>-86</v>
      </c>
      <c r="L118" s="467"/>
      <c r="M118" s="468"/>
      <c r="N118" s="468"/>
      <c r="O118" s="467"/>
      <c r="P118" s="468"/>
      <c r="Q118" s="469"/>
      <c r="R118" s="293">
        <v>6</v>
      </c>
      <c r="S118" s="301">
        <v>19</v>
      </c>
      <c r="T118" s="301">
        <v>-91</v>
      </c>
      <c r="U118" s="408">
        <v>12</v>
      </c>
      <c r="V118" s="403">
        <v>16</v>
      </c>
      <c r="W118" s="404">
        <v>-84</v>
      </c>
      <c r="X118" s="467"/>
      <c r="Y118" s="468"/>
      <c r="Z118" s="468"/>
      <c r="AA118" s="467"/>
      <c r="AB118" s="468"/>
      <c r="AC118" s="469"/>
      <c r="AD118" s="414">
        <v>7.2</v>
      </c>
      <c r="AE118" s="96">
        <v>19</v>
      </c>
      <c r="AF118" s="94">
        <v>-91</v>
      </c>
      <c r="AG118" s="96">
        <v>15</v>
      </c>
      <c r="AH118" s="96">
        <v>17</v>
      </c>
      <c r="AI118" s="94">
        <v>-86</v>
      </c>
      <c r="AJ118" s="467"/>
      <c r="AK118" s="468"/>
      <c r="AL118" s="468"/>
      <c r="AM118" s="467"/>
      <c r="AN118" s="468"/>
      <c r="AO118" s="469"/>
      <c r="AP118" s="414">
        <v>7.2</v>
      </c>
      <c r="AQ118" s="96">
        <v>18</v>
      </c>
      <c r="AR118" s="94">
        <v>-90</v>
      </c>
      <c r="AS118" s="96">
        <v>15</v>
      </c>
      <c r="AT118" s="96">
        <v>17</v>
      </c>
      <c r="AU118" s="94">
        <v>-87</v>
      </c>
      <c r="AV118" s="467"/>
      <c r="AW118" s="468"/>
      <c r="AX118" s="468"/>
      <c r="AY118" s="467"/>
      <c r="AZ118" s="468"/>
      <c r="BA118" s="469"/>
      <c r="BB118" s="37">
        <v>6</v>
      </c>
      <c r="BC118" s="38">
        <v>19</v>
      </c>
      <c r="BD118" s="38">
        <v>-91</v>
      </c>
      <c r="BE118" s="28">
        <v>12</v>
      </c>
      <c r="BF118" s="96">
        <v>17</v>
      </c>
      <c r="BG118" s="9">
        <v>-88</v>
      </c>
      <c r="BH118" s="467"/>
      <c r="BI118" s="468"/>
      <c r="BJ118" s="468"/>
      <c r="BK118" s="467"/>
      <c r="BL118" s="468"/>
      <c r="BM118" s="469"/>
      <c r="BN118" s="414">
        <v>7.2</v>
      </c>
      <c r="BO118" s="96">
        <v>18</v>
      </c>
      <c r="BP118" s="94">
        <v>-90</v>
      </c>
      <c r="BQ118" s="96">
        <v>15</v>
      </c>
      <c r="BR118" s="96">
        <v>17</v>
      </c>
      <c r="BS118" s="94">
        <v>-87</v>
      </c>
      <c r="BT118" s="467"/>
      <c r="BU118" s="468"/>
      <c r="BV118" s="468"/>
      <c r="BW118" s="467"/>
      <c r="BX118" s="468"/>
      <c r="BY118" s="469"/>
      <c r="BZ118" s="467"/>
      <c r="CA118" s="468"/>
      <c r="CB118" s="468"/>
      <c r="CC118" s="467"/>
      <c r="CD118" s="468"/>
      <c r="CE118" s="469"/>
      <c r="CF118" s="467"/>
      <c r="CG118" s="468"/>
      <c r="CH118" s="468"/>
      <c r="CI118" s="467"/>
      <c r="CJ118" s="468"/>
      <c r="CK118" s="469"/>
    </row>
    <row r="119" spans="5:89" x14ac:dyDescent="0.2">
      <c r="E119" s="234" t="s">
        <v>99</v>
      </c>
      <c r="F119" s="296">
        <v>5.5</v>
      </c>
      <c r="G119" s="24">
        <v>19</v>
      </c>
      <c r="H119" s="2">
        <v>-90</v>
      </c>
      <c r="I119" s="6">
        <v>18</v>
      </c>
      <c r="J119" s="412">
        <v>16.5</v>
      </c>
      <c r="K119" s="413">
        <v>-83</v>
      </c>
      <c r="L119" s="470"/>
      <c r="M119" s="471"/>
      <c r="N119" s="471"/>
      <c r="O119" s="470"/>
      <c r="P119" s="471"/>
      <c r="Q119" s="472"/>
      <c r="R119" s="297">
        <v>9</v>
      </c>
      <c r="S119" s="31">
        <v>19</v>
      </c>
      <c r="T119" s="31">
        <v>-91</v>
      </c>
      <c r="U119" s="409">
        <v>18</v>
      </c>
      <c r="V119" s="405">
        <v>16</v>
      </c>
      <c r="W119" s="406">
        <v>-83</v>
      </c>
      <c r="X119" s="470"/>
      <c r="Y119" s="471"/>
      <c r="Z119" s="471"/>
      <c r="AA119" s="470"/>
      <c r="AB119" s="471"/>
      <c r="AC119" s="472"/>
      <c r="AD119" s="39">
        <v>14.4</v>
      </c>
      <c r="AE119" s="24">
        <v>19</v>
      </c>
      <c r="AF119" s="95">
        <v>-89</v>
      </c>
      <c r="AG119" s="24">
        <v>30</v>
      </c>
      <c r="AH119" s="24">
        <v>17</v>
      </c>
      <c r="AI119" s="95">
        <v>-85</v>
      </c>
      <c r="AJ119" s="470"/>
      <c r="AK119" s="471"/>
      <c r="AL119" s="471"/>
      <c r="AM119" s="470"/>
      <c r="AN119" s="471"/>
      <c r="AO119" s="472"/>
      <c r="AP119" s="39">
        <v>14.4</v>
      </c>
      <c r="AQ119" s="24">
        <v>18</v>
      </c>
      <c r="AR119" s="95">
        <v>-87</v>
      </c>
      <c r="AS119" s="24">
        <v>30</v>
      </c>
      <c r="AT119" s="24">
        <v>17</v>
      </c>
      <c r="AU119" s="95">
        <v>-84</v>
      </c>
      <c r="AV119" s="470"/>
      <c r="AW119" s="471"/>
      <c r="AX119" s="471"/>
      <c r="AY119" s="470"/>
      <c r="AZ119" s="471"/>
      <c r="BA119" s="472"/>
      <c r="BB119" s="39">
        <v>9</v>
      </c>
      <c r="BC119" s="31">
        <v>19</v>
      </c>
      <c r="BD119" s="31">
        <v>-91</v>
      </c>
      <c r="BE119" s="30">
        <v>18</v>
      </c>
      <c r="BF119" s="24">
        <v>17</v>
      </c>
      <c r="BG119" s="10">
        <v>-88</v>
      </c>
      <c r="BH119" s="470"/>
      <c r="BI119" s="471"/>
      <c r="BJ119" s="471"/>
      <c r="BK119" s="470"/>
      <c r="BL119" s="471"/>
      <c r="BM119" s="472"/>
      <c r="BN119" s="39">
        <v>14.4</v>
      </c>
      <c r="BO119" s="24">
        <v>18</v>
      </c>
      <c r="BP119" s="95">
        <v>-87</v>
      </c>
      <c r="BQ119" s="24">
        <v>30</v>
      </c>
      <c r="BR119" s="24">
        <v>17</v>
      </c>
      <c r="BS119" s="95">
        <v>-84</v>
      </c>
      <c r="BT119" s="470"/>
      <c r="BU119" s="471"/>
      <c r="BV119" s="471"/>
      <c r="BW119" s="470"/>
      <c r="BX119" s="471"/>
      <c r="BY119" s="472"/>
      <c r="BZ119" s="470"/>
      <c r="CA119" s="471"/>
      <c r="CB119" s="471"/>
      <c r="CC119" s="470"/>
      <c r="CD119" s="471"/>
      <c r="CE119" s="472"/>
      <c r="CF119" s="470"/>
      <c r="CG119" s="471"/>
      <c r="CH119" s="471"/>
      <c r="CI119" s="470"/>
      <c r="CJ119" s="471"/>
      <c r="CK119" s="472"/>
    </row>
    <row r="120" spans="5:89" x14ac:dyDescent="0.2">
      <c r="E120" s="407" t="s">
        <v>412</v>
      </c>
      <c r="F120" s="297">
        <v>6</v>
      </c>
      <c r="G120" s="24">
        <v>19</v>
      </c>
      <c r="H120" s="2">
        <v>-92</v>
      </c>
      <c r="I120" s="6">
        <v>24</v>
      </c>
      <c r="J120" s="412">
        <v>16.5</v>
      </c>
      <c r="K120" s="413">
        <v>-82</v>
      </c>
      <c r="L120" s="470"/>
      <c r="M120" s="471"/>
      <c r="N120" s="471"/>
      <c r="O120" s="470"/>
      <c r="P120" s="471"/>
      <c r="Q120" s="472"/>
      <c r="R120" s="297">
        <v>12</v>
      </c>
      <c r="S120" s="31">
        <v>19</v>
      </c>
      <c r="T120" s="31">
        <v>-91</v>
      </c>
      <c r="U120" s="409">
        <v>24</v>
      </c>
      <c r="V120" s="405">
        <v>16</v>
      </c>
      <c r="W120" s="406">
        <v>-81</v>
      </c>
      <c r="X120" s="470"/>
      <c r="Y120" s="471"/>
      <c r="Z120" s="471"/>
      <c r="AA120" s="470"/>
      <c r="AB120" s="471"/>
      <c r="AC120" s="472"/>
      <c r="AD120" s="39">
        <v>21.7</v>
      </c>
      <c r="AE120" s="24">
        <v>19</v>
      </c>
      <c r="AF120" s="95">
        <v>-86</v>
      </c>
      <c r="AG120" s="24">
        <v>45</v>
      </c>
      <c r="AH120" s="24">
        <v>17</v>
      </c>
      <c r="AI120" s="95">
        <v>-83</v>
      </c>
      <c r="AJ120" s="470"/>
      <c r="AK120" s="471"/>
      <c r="AL120" s="471"/>
      <c r="AM120" s="470"/>
      <c r="AN120" s="471"/>
      <c r="AO120" s="472"/>
      <c r="AP120" s="39">
        <v>21.7</v>
      </c>
      <c r="AQ120" s="24">
        <v>18</v>
      </c>
      <c r="AR120" s="95">
        <v>-85</v>
      </c>
      <c r="AS120" s="24">
        <v>45</v>
      </c>
      <c r="AT120" s="24">
        <v>17</v>
      </c>
      <c r="AU120" s="95">
        <v>-82</v>
      </c>
      <c r="AV120" s="470"/>
      <c r="AW120" s="471"/>
      <c r="AX120" s="471"/>
      <c r="AY120" s="470"/>
      <c r="AZ120" s="471"/>
      <c r="BA120" s="472"/>
      <c r="BB120" s="39">
        <v>12</v>
      </c>
      <c r="BC120" s="31">
        <v>19</v>
      </c>
      <c r="BD120" s="31">
        <v>-91</v>
      </c>
      <c r="BE120" s="30">
        <v>24</v>
      </c>
      <c r="BF120" s="24">
        <v>17</v>
      </c>
      <c r="BG120" s="10">
        <v>-88</v>
      </c>
      <c r="BH120" s="470"/>
      <c r="BI120" s="471"/>
      <c r="BJ120" s="471"/>
      <c r="BK120" s="470"/>
      <c r="BL120" s="471"/>
      <c r="BM120" s="472"/>
      <c r="BN120" s="39">
        <v>21.7</v>
      </c>
      <c r="BO120" s="24">
        <v>18</v>
      </c>
      <c r="BP120" s="95">
        <v>-85</v>
      </c>
      <c r="BQ120" s="24">
        <v>45</v>
      </c>
      <c r="BR120" s="24">
        <v>17</v>
      </c>
      <c r="BS120" s="95">
        <v>-82</v>
      </c>
      <c r="BT120" s="470"/>
      <c r="BU120" s="471"/>
      <c r="BV120" s="471"/>
      <c r="BW120" s="470"/>
      <c r="BX120" s="471"/>
      <c r="BY120" s="472"/>
      <c r="BZ120" s="470"/>
      <c r="CA120" s="471"/>
      <c r="CB120" s="471"/>
      <c r="CC120" s="470"/>
      <c r="CD120" s="471"/>
      <c r="CE120" s="472"/>
      <c r="CF120" s="470"/>
      <c r="CG120" s="471"/>
      <c r="CH120" s="471"/>
      <c r="CI120" s="470"/>
      <c r="CJ120" s="471"/>
      <c r="CK120" s="472"/>
    </row>
    <row r="121" spans="5:89" x14ac:dyDescent="0.2">
      <c r="F121" s="297">
        <v>9</v>
      </c>
      <c r="G121" s="24">
        <v>18</v>
      </c>
      <c r="H121" s="2">
        <v>-92</v>
      </c>
      <c r="I121" s="6">
        <v>36</v>
      </c>
      <c r="J121" s="412">
        <v>16.5</v>
      </c>
      <c r="K121" s="413">
        <v>-81</v>
      </c>
      <c r="L121" s="470"/>
      <c r="M121" s="471"/>
      <c r="N121" s="471"/>
      <c r="O121" s="470"/>
      <c r="P121" s="471"/>
      <c r="Q121" s="472"/>
      <c r="R121" s="297">
        <v>18</v>
      </c>
      <c r="S121" s="31">
        <v>19</v>
      </c>
      <c r="T121" s="31">
        <v>-90</v>
      </c>
      <c r="U121" s="409">
        <v>36</v>
      </c>
      <c r="V121" s="405">
        <v>16</v>
      </c>
      <c r="W121" s="406">
        <v>-80</v>
      </c>
      <c r="X121" s="470"/>
      <c r="Y121" s="471"/>
      <c r="Z121" s="471"/>
      <c r="AA121" s="470"/>
      <c r="AB121" s="471"/>
      <c r="AC121" s="472"/>
      <c r="AD121" s="39">
        <v>28.9</v>
      </c>
      <c r="AE121" s="24">
        <v>19</v>
      </c>
      <c r="AF121" s="95">
        <v>-83</v>
      </c>
      <c r="AG121" s="24">
        <v>60</v>
      </c>
      <c r="AH121" s="24">
        <v>17</v>
      </c>
      <c r="AI121" s="95">
        <v>-80</v>
      </c>
      <c r="AJ121" s="470"/>
      <c r="AK121" s="471"/>
      <c r="AL121" s="471"/>
      <c r="AM121" s="470"/>
      <c r="AN121" s="471"/>
      <c r="AO121" s="472"/>
      <c r="AP121" s="39">
        <v>28.9</v>
      </c>
      <c r="AQ121" s="24">
        <v>17</v>
      </c>
      <c r="AR121" s="95">
        <v>-82</v>
      </c>
      <c r="AS121" s="24">
        <v>60</v>
      </c>
      <c r="AT121" s="24">
        <v>17</v>
      </c>
      <c r="AU121" s="95">
        <v>-79</v>
      </c>
      <c r="AV121" s="470"/>
      <c r="AW121" s="471"/>
      <c r="AX121" s="471"/>
      <c r="AY121" s="470"/>
      <c r="AZ121" s="471"/>
      <c r="BA121" s="472"/>
      <c r="BB121" s="39">
        <v>18</v>
      </c>
      <c r="BC121" s="31">
        <v>19</v>
      </c>
      <c r="BD121" s="31">
        <v>-90</v>
      </c>
      <c r="BE121" s="30">
        <v>36</v>
      </c>
      <c r="BF121" s="24">
        <v>17</v>
      </c>
      <c r="BG121" s="10">
        <v>-87</v>
      </c>
      <c r="BH121" s="470"/>
      <c r="BI121" s="471"/>
      <c r="BJ121" s="471"/>
      <c r="BK121" s="470"/>
      <c r="BL121" s="471"/>
      <c r="BM121" s="472"/>
      <c r="BN121" s="39">
        <v>28.9</v>
      </c>
      <c r="BO121" s="24">
        <v>17</v>
      </c>
      <c r="BP121" s="95">
        <v>-82</v>
      </c>
      <c r="BQ121" s="24">
        <v>60</v>
      </c>
      <c r="BR121" s="24">
        <v>17</v>
      </c>
      <c r="BS121" s="95">
        <v>-79</v>
      </c>
      <c r="BT121" s="470"/>
      <c r="BU121" s="471"/>
      <c r="BV121" s="471"/>
      <c r="BW121" s="470"/>
      <c r="BX121" s="471"/>
      <c r="BY121" s="472"/>
      <c r="BZ121" s="470"/>
      <c r="CA121" s="471"/>
      <c r="CB121" s="471"/>
      <c r="CC121" s="470"/>
      <c r="CD121" s="471"/>
      <c r="CE121" s="472"/>
      <c r="CF121" s="470"/>
      <c r="CG121" s="471"/>
      <c r="CH121" s="471"/>
      <c r="CI121" s="470"/>
      <c r="CJ121" s="471"/>
      <c r="CK121" s="472"/>
    </row>
    <row r="122" spans="5:89" x14ac:dyDescent="0.2">
      <c r="F122" s="297">
        <v>11</v>
      </c>
      <c r="G122" s="24">
        <v>18</v>
      </c>
      <c r="H122" s="2">
        <v>-87</v>
      </c>
      <c r="I122" s="6">
        <v>48</v>
      </c>
      <c r="J122" s="412">
        <v>16.5</v>
      </c>
      <c r="K122" s="413">
        <v>-78</v>
      </c>
      <c r="L122" s="470"/>
      <c r="M122" s="471"/>
      <c r="N122" s="471"/>
      <c r="O122" s="470"/>
      <c r="P122" s="471"/>
      <c r="Q122" s="472"/>
      <c r="R122" s="297">
        <v>24</v>
      </c>
      <c r="S122" s="31">
        <v>18</v>
      </c>
      <c r="T122" s="31">
        <v>-86</v>
      </c>
      <c r="U122" s="409">
        <v>48</v>
      </c>
      <c r="V122" s="405">
        <v>16</v>
      </c>
      <c r="W122" s="406">
        <v>-77</v>
      </c>
      <c r="X122" s="470"/>
      <c r="Y122" s="471"/>
      <c r="Z122" s="471"/>
      <c r="AA122" s="470"/>
      <c r="AB122" s="471"/>
      <c r="AC122" s="472"/>
      <c r="AD122" s="39">
        <v>43.3</v>
      </c>
      <c r="AE122" s="24">
        <v>18</v>
      </c>
      <c r="AF122" s="95">
        <v>-80</v>
      </c>
      <c r="AG122" s="24">
        <v>90</v>
      </c>
      <c r="AH122" s="24">
        <v>17</v>
      </c>
      <c r="AI122" s="95">
        <v>-77</v>
      </c>
      <c r="AJ122" s="470"/>
      <c r="AK122" s="471"/>
      <c r="AL122" s="471"/>
      <c r="AM122" s="470"/>
      <c r="AN122" s="471"/>
      <c r="AO122" s="472"/>
      <c r="AP122" s="39">
        <v>43.3</v>
      </c>
      <c r="AQ122" s="24">
        <v>17</v>
      </c>
      <c r="AR122" s="95">
        <v>-79</v>
      </c>
      <c r="AS122" s="24">
        <v>90</v>
      </c>
      <c r="AT122" s="24">
        <v>17</v>
      </c>
      <c r="AU122" s="95">
        <v>-76</v>
      </c>
      <c r="AV122" s="470"/>
      <c r="AW122" s="471"/>
      <c r="AX122" s="471"/>
      <c r="AY122" s="470"/>
      <c r="AZ122" s="471"/>
      <c r="BA122" s="472"/>
      <c r="BB122" s="39">
        <v>24</v>
      </c>
      <c r="BC122" s="31">
        <v>18</v>
      </c>
      <c r="BD122" s="31">
        <v>-86</v>
      </c>
      <c r="BE122" s="30">
        <v>48</v>
      </c>
      <c r="BF122" s="24">
        <v>17</v>
      </c>
      <c r="BG122" s="10">
        <v>-83</v>
      </c>
      <c r="BH122" s="470"/>
      <c r="BI122" s="471"/>
      <c r="BJ122" s="471"/>
      <c r="BK122" s="470"/>
      <c r="BL122" s="471"/>
      <c r="BM122" s="472"/>
      <c r="BN122" s="39">
        <v>43.3</v>
      </c>
      <c r="BO122" s="24">
        <v>17</v>
      </c>
      <c r="BP122" s="95">
        <v>-79</v>
      </c>
      <c r="BQ122" s="24">
        <v>90</v>
      </c>
      <c r="BR122" s="24">
        <v>17</v>
      </c>
      <c r="BS122" s="95">
        <v>-76</v>
      </c>
      <c r="BT122" s="470"/>
      <c r="BU122" s="471"/>
      <c r="BV122" s="471"/>
      <c r="BW122" s="470"/>
      <c r="BX122" s="471"/>
      <c r="BY122" s="472"/>
      <c r="BZ122" s="470"/>
      <c r="CA122" s="471"/>
      <c r="CB122" s="471"/>
      <c r="CC122" s="470"/>
      <c r="CD122" s="471"/>
      <c r="CE122" s="472"/>
      <c r="CF122" s="470"/>
      <c r="CG122" s="471"/>
      <c r="CH122" s="471"/>
      <c r="CI122" s="470"/>
      <c r="CJ122" s="471"/>
      <c r="CK122" s="472"/>
    </row>
    <row r="123" spans="5:89" x14ac:dyDescent="0.2">
      <c r="F123" s="297">
        <v>12</v>
      </c>
      <c r="G123" s="24">
        <v>18</v>
      </c>
      <c r="H123" s="2">
        <v>-92</v>
      </c>
      <c r="I123" s="6">
        <v>72</v>
      </c>
      <c r="J123" s="412">
        <v>15.5</v>
      </c>
      <c r="K123" s="413">
        <v>-74</v>
      </c>
      <c r="L123" s="470"/>
      <c r="M123" s="471"/>
      <c r="N123" s="471"/>
      <c r="O123" s="470"/>
      <c r="P123" s="471"/>
      <c r="Q123" s="472"/>
      <c r="R123" s="297">
        <v>36</v>
      </c>
      <c r="S123" s="31">
        <v>16</v>
      </c>
      <c r="T123" s="31">
        <v>-83</v>
      </c>
      <c r="U123" s="409">
        <v>72</v>
      </c>
      <c r="V123" s="405">
        <v>15</v>
      </c>
      <c r="W123" s="406">
        <v>-74</v>
      </c>
      <c r="X123" s="470"/>
      <c r="Y123" s="471"/>
      <c r="Z123" s="471"/>
      <c r="AA123" s="470"/>
      <c r="AB123" s="471"/>
      <c r="AC123" s="472"/>
      <c r="AD123" s="39">
        <v>57.8</v>
      </c>
      <c r="AE123" s="24">
        <v>16</v>
      </c>
      <c r="AF123" s="95">
        <v>-75</v>
      </c>
      <c r="AG123" s="24">
        <v>120</v>
      </c>
      <c r="AH123" s="24">
        <v>16</v>
      </c>
      <c r="AI123" s="95">
        <v>-72</v>
      </c>
      <c r="AJ123" s="470"/>
      <c r="AK123" s="471"/>
      <c r="AL123" s="471"/>
      <c r="AM123" s="470"/>
      <c r="AN123" s="471"/>
      <c r="AO123" s="472"/>
      <c r="AP123" s="39">
        <v>57.8</v>
      </c>
      <c r="AQ123" s="24">
        <v>16</v>
      </c>
      <c r="AR123" s="95">
        <v>-74</v>
      </c>
      <c r="AS123" s="24">
        <v>120</v>
      </c>
      <c r="AT123" s="24">
        <v>16</v>
      </c>
      <c r="AU123" s="95">
        <v>-71</v>
      </c>
      <c r="AV123" s="470"/>
      <c r="AW123" s="471"/>
      <c r="AX123" s="471"/>
      <c r="AY123" s="470"/>
      <c r="AZ123" s="471"/>
      <c r="BA123" s="472"/>
      <c r="BB123" s="39">
        <v>36</v>
      </c>
      <c r="BC123" s="31">
        <v>16</v>
      </c>
      <c r="BD123" s="31">
        <v>-83</v>
      </c>
      <c r="BE123" s="30">
        <v>72</v>
      </c>
      <c r="BF123" s="24">
        <v>16</v>
      </c>
      <c r="BG123" s="10">
        <v>-80</v>
      </c>
      <c r="BH123" s="470"/>
      <c r="BI123" s="471"/>
      <c r="BJ123" s="471"/>
      <c r="BK123" s="470"/>
      <c r="BL123" s="471"/>
      <c r="BM123" s="472"/>
      <c r="BN123" s="39">
        <v>57.8</v>
      </c>
      <c r="BO123" s="24">
        <v>16</v>
      </c>
      <c r="BP123" s="95">
        <v>-74</v>
      </c>
      <c r="BQ123" s="24">
        <v>120</v>
      </c>
      <c r="BR123" s="24">
        <v>16</v>
      </c>
      <c r="BS123" s="95">
        <v>-71</v>
      </c>
      <c r="BT123" s="470"/>
      <c r="BU123" s="471"/>
      <c r="BV123" s="471"/>
      <c r="BW123" s="470"/>
      <c r="BX123" s="471"/>
      <c r="BY123" s="472"/>
      <c r="BZ123" s="470"/>
      <c r="CA123" s="471"/>
      <c r="CB123" s="471"/>
      <c r="CC123" s="470"/>
      <c r="CD123" s="471"/>
      <c r="CE123" s="472"/>
      <c r="CF123" s="470"/>
      <c r="CG123" s="471"/>
      <c r="CH123" s="471"/>
      <c r="CI123" s="470"/>
      <c r="CJ123" s="471"/>
      <c r="CK123" s="472"/>
    </row>
    <row r="124" spans="5:89" x14ac:dyDescent="0.2">
      <c r="F124" s="297">
        <v>18</v>
      </c>
      <c r="G124" s="24">
        <v>18</v>
      </c>
      <c r="H124" s="2">
        <v>-91</v>
      </c>
      <c r="I124" s="6">
        <v>96</v>
      </c>
      <c r="J124" s="412">
        <v>14.5</v>
      </c>
      <c r="K124" s="413">
        <v>-70</v>
      </c>
      <c r="L124" s="470"/>
      <c r="M124" s="471"/>
      <c r="N124" s="471"/>
      <c r="O124" s="470"/>
      <c r="P124" s="471"/>
      <c r="Q124" s="472"/>
      <c r="R124" s="297">
        <v>48</v>
      </c>
      <c r="S124" s="31">
        <v>13</v>
      </c>
      <c r="T124" s="31">
        <v>-79</v>
      </c>
      <c r="U124" s="409">
        <v>96</v>
      </c>
      <c r="V124" s="405">
        <v>14</v>
      </c>
      <c r="W124" s="406">
        <v>-69</v>
      </c>
      <c r="X124" s="470"/>
      <c r="Y124" s="471"/>
      <c r="Z124" s="471"/>
      <c r="AA124" s="470"/>
      <c r="AB124" s="471"/>
      <c r="AC124" s="472"/>
      <c r="AD124" s="39">
        <v>65</v>
      </c>
      <c r="AE124" s="24">
        <v>13</v>
      </c>
      <c r="AF124" s="95">
        <v>-73</v>
      </c>
      <c r="AG124" s="24">
        <v>135</v>
      </c>
      <c r="AH124" s="24">
        <v>13</v>
      </c>
      <c r="AI124" s="95">
        <v>-68</v>
      </c>
      <c r="AJ124" s="470"/>
      <c r="AK124" s="471"/>
      <c r="AL124" s="471"/>
      <c r="AM124" s="470"/>
      <c r="AN124" s="471"/>
      <c r="AO124" s="472"/>
      <c r="AP124" s="39">
        <v>65</v>
      </c>
      <c r="AQ124" s="24">
        <v>12</v>
      </c>
      <c r="AR124" s="95">
        <v>-73</v>
      </c>
      <c r="AS124" s="24">
        <v>135</v>
      </c>
      <c r="AT124" s="24">
        <v>12</v>
      </c>
      <c r="AU124" s="95">
        <v>-69</v>
      </c>
      <c r="AV124" s="470"/>
      <c r="AW124" s="471"/>
      <c r="AX124" s="471"/>
      <c r="AY124" s="470"/>
      <c r="AZ124" s="471"/>
      <c r="BA124" s="472"/>
      <c r="BB124" s="39">
        <v>48</v>
      </c>
      <c r="BC124" s="31">
        <v>13</v>
      </c>
      <c r="BD124" s="31">
        <v>-79</v>
      </c>
      <c r="BE124" s="30">
        <v>96</v>
      </c>
      <c r="BF124" s="24">
        <v>13</v>
      </c>
      <c r="BG124" s="10">
        <v>-76</v>
      </c>
      <c r="BH124" s="470"/>
      <c r="BI124" s="471"/>
      <c r="BJ124" s="471"/>
      <c r="BK124" s="470"/>
      <c r="BL124" s="471"/>
      <c r="BM124" s="472"/>
      <c r="BN124" s="39">
        <v>65</v>
      </c>
      <c r="BO124" s="24">
        <v>12</v>
      </c>
      <c r="BP124" s="95">
        <v>-73</v>
      </c>
      <c r="BQ124" s="24">
        <v>135</v>
      </c>
      <c r="BR124" s="24">
        <v>12</v>
      </c>
      <c r="BS124" s="95">
        <v>-69</v>
      </c>
      <c r="BT124" s="470"/>
      <c r="BU124" s="471"/>
      <c r="BV124" s="471"/>
      <c r="BW124" s="470"/>
      <c r="BX124" s="471"/>
      <c r="BY124" s="472"/>
      <c r="BZ124" s="470"/>
      <c r="CA124" s="471"/>
      <c r="CB124" s="471"/>
      <c r="CC124" s="470"/>
      <c r="CD124" s="471"/>
      <c r="CE124" s="472"/>
      <c r="CF124" s="470"/>
      <c r="CG124" s="471"/>
      <c r="CH124" s="471"/>
      <c r="CI124" s="470"/>
      <c r="CJ124" s="471"/>
      <c r="CK124" s="472"/>
    </row>
    <row r="125" spans="5:89" x14ac:dyDescent="0.2">
      <c r="F125" s="297">
        <v>24</v>
      </c>
      <c r="G125" s="24">
        <v>18</v>
      </c>
      <c r="H125" s="2">
        <v>-88</v>
      </c>
      <c r="I125" s="6">
        <v>108</v>
      </c>
      <c r="J125" s="412">
        <v>13.5</v>
      </c>
      <c r="K125" s="413">
        <v>-65</v>
      </c>
      <c r="L125" s="470"/>
      <c r="M125" s="471"/>
      <c r="N125" s="471"/>
      <c r="O125" s="470"/>
      <c r="P125" s="471"/>
      <c r="Q125" s="472"/>
      <c r="R125" s="297">
        <v>54</v>
      </c>
      <c r="S125" s="31">
        <v>10</v>
      </c>
      <c r="T125" s="31">
        <v>-78</v>
      </c>
      <c r="U125" s="409">
        <v>108</v>
      </c>
      <c r="V125" s="405">
        <v>12</v>
      </c>
      <c r="W125" s="406">
        <v>-64</v>
      </c>
      <c r="X125" s="470"/>
      <c r="Y125" s="471"/>
      <c r="Z125" s="471"/>
      <c r="AA125" s="470"/>
      <c r="AB125" s="471"/>
      <c r="AC125" s="472"/>
      <c r="AD125" s="39">
        <v>72.2</v>
      </c>
      <c r="AE125" s="24">
        <v>10</v>
      </c>
      <c r="AF125" s="24">
        <v>-71</v>
      </c>
      <c r="AG125" s="21">
        <v>150</v>
      </c>
      <c r="AH125" s="24">
        <v>10</v>
      </c>
      <c r="AI125" s="95">
        <v>-67</v>
      </c>
      <c r="AJ125" s="470"/>
      <c r="AK125" s="471"/>
      <c r="AL125" s="471"/>
      <c r="AM125" s="470"/>
      <c r="AN125" s="471"/>
      <c r="AO125" s="472"/>
      <c r="AP125" s="39">
        <v>72.2</v>
      </c>
      <c r="AQ125" s="24">
        <v>10</v>
      </c>
      <c r="AR125" s="24">
        <v>-69</v>
      </c>
      <c r="AS125" s="21">
        <v>150</v>
      </c>
      <c r="AT125" s="24">
        <v>10</v>
      </c>
      <c r="AU125" s="95">
        <v>-66</v>
      </c>
      <c r="AV125" s="470"/>
      <c r="AW125" s="471"/>
      <c r="AX125" s="471"/>
      <c r="AY125" s="470"/>
      <c r="AZ125" s="471"/>
      <c r="BA125" s="472"/>
      <c r="BB125" s="39">
        <v>54</v>
      </c>
      <c r="BC125" s="31">
        <v>10</v>
      </c>
      <c r="BD125" s="31">
        <v>-78</v>
      </c>
      <c r="BE125" s="30">
        <v>108</v>
      </c>
      <c r="BF125" s="24">
        <v>10</v>
      </c>
      <c r="BG125" s="10">
        <v>-75</v>
      </c>
      <c r="BH125" s="470"/>
      <c r="BI125" s="471"/>
      <c r="BJ125" s="471"/>
      <c r="BK125" s="470"/>
      <c r="BL125" s="471"/>
      <c r="BM125" s="472"/>
      <c r="BN125" s="39">
        <v>72.2</v>
      </c>
      <c r="BO125" s="24">
        <v>10</v>
      </c>
      <c r="BP125" s="24">
        <v>-69</v>
      </c>
      <c r="BQ125" s="21">
        <v>150</v>
      </c>
      <c r="BR125" s="24">
        <v>10</v>
      </c>
      <c r="BS125" s="95">
        <v>-66</v>
      </c>
      <c r="BT125" s="470"/>
      <c r="BU125" s="471"/>
      <c r="BV125" s="471"/>
      <c r="BW125" s="470"/>
      <c r="BX125" s="471"/>
      <c r="BY125" s="472"/>
      <c r="BZ125" s="470"/>
      <c r="CA125" s="471"/>
      <c r="CB125" s="471"/>
      <c r="CC125" s="470"/>
      <c r="CD125" s="471"/>
      <c r="CE125" s="472"/>
      <c r="CF125" s="470"/>
      <c r="CG125" s="471"/>
      <c r="CH125" s="471"/>
      <c r="CI125" s="470"/>
      <c r="CJ125" s="471"/>
      <c r="CK125" s="472"/>
    </row>
    <row r="126" spans="5:89" x14ac:dyDescent="0.2">
      <c r="F126" s="297">
        <v>36</v>
      </c>
      <c r="G126" s="24">
        <v>18</v>
      </c>
      <c r="H126" s="2">
        <v>-85</v>
      </c>
      <c r="I126" s="6"/>
      <c r="J126" s="2"/>
      <c r="K126" s="53"/>
      <c r="L126" s="470"/>
      <c r="M126" s="471"/>
      <c r="N126" s="471"/>
      <c r="O126" s="470"/>
      <c r="P126" s="471"/>
      <c r="Q126" s="472"/>
      <c r="R126" s="52"/>
      <c r="S126" s="2"/>
      <c r="T126" s="2"/>
      <c r="U126" s="39"/>
      <c r="V126" s="24"/>
      <c r="W126" s="53"/>
      <c r="X126" s="470"/>
      <c r="Y126" s="471"/>
      <c r="Z126" s="471"/>
      <c r="AA126" s="470"/>
      <c r="AB126" s="471"/>
      <c r="AC126" s="472"/>
      <c r="AD126" s="24"/>
      <c r="AE126" s="2"/>
      <c r="AF126" s="10"/>
      <c r="AG126" s="6"/>
      <c r="AH126" s="2"/>
      <c r="AI126" s="95"/>
      <c r="AJ126" s="470"/>
      <c r="AK126" s="471"/>
      <c r="AL126" s="471"/>
      <c r="AM126" s="470"/>
      <c r="AN126" s="471"/>
      <c r="AO126" s="472"/>
      <c r="AP126" s="39"/>
      <c r="AQ126" s="2"/>
      <c r="AR126" s="10"/>
      <c r="AS126" s="6"/>
      <c r="AT126" s="2"/>
      <c r="AU126" s="10"/>
      <c r="AV126" s="470"/>
      <c r="AW126" s="471"/>
      <c r="AX126" s="471"/>
      <c r="AY126" s="470"/>
      <c r="AZ126" s="471"/>
      <c r="BA126" s="472"/>
      <c r="BB126" s="6"/>
      <c r="BC126" s="2"/>
      <c r="BD126" s="2"/>
      <c r="BE126" s="39"/>
      <c r="BF126" s="24"/>
      <c r="BG126" s="10"/>
      <c r="BH126" s="470"/>
      <c r="BI126" s="471"/>
      <c r="BJ126" s="471"/>
      <c r="BK126" s="470"/>
      <c r="BL126" s="471"/>
      <c r="BM126" s="472"/>
      <c r="BN126" s="6"/>
      <c r="BO126" s="2"/>
      <c r="BP126" s="10"/>
      <c r="BQ126" s="6"/>
      <c r="BR126" s="2"/>
      <c r="BS126" s="10"/>
      <c r="BT126" s="470"/>
      <c r="BU126" s="471"/>
      <c r="BV126" s="471"/>
      <c r="BW126" s="470"/>
      <c r="BX126" s="471"/>
      <c r="BY126" s="472"/>
      <c r="BZ126" s="470"/>
      <c r="CA126" s="471"/>
      <c r="CB126" s="471"/>
      <c r="CC126" s="470"/>
      <c r="CD126" s="471"/>
      <c r="CE126" s="472"/>
      <c r="CF126" s="470"/>
      <c r="CG126" s="471"/>
      <c r="CH126" s="471"/>
      <c r="CI126" s="470"/>
      <c r="CJ126" s="471"/>
      <c r="CK126" s="472"/>
    </row>
    <row r="127" spans="5:89" x14ac:dyDescent="0.2">
      <c r="F127" s="297">
        <v>48</v>
      </c>
      <c r="G127" s="24">
        <v>17</v>
      </c>
      <c r="H127" s="2">
        <v>-81</v>
      </c>
      <c r="I127" s="6"/>
      <c r="J127" s="2"/>
      <c r="K127" s="53"/>
      <c r="L127" s="470"/>
      <c r="M127" s="471"/>
      <c r="N127" s="471"/>
      <c r="O127" s="470"/>
      <c r="P127" s="471"/>
      <c r="Q127" s="472"/>
      <c r="R127" s="52"/>
      <c r="S127" s="31"/>
      <c r="T127" s="31"/>
      <c r="U127" s="39"/>
      <c r="V127" s="2"/>
      <c r="W127" s="53"/>
      <c r="X127" s="470"/>
      <c r="Y127" s="471"/>
      <c r="Z127" s="471"/>
      <c r="AA127" s="470"/>
      <c r="AB127" s="471"/>
      <c r="AC127" s="472"/>
      <c r="AD127" s="2"/>
      <c r="AE127" s="2"/>
      <c r="AF127" s="10"/>
      <c r="AG127" s="6"/>
      <c r="AH127" s="2"/>
      <c r="AI127" s="10"/>
      <c r="AJ127" s="470"/>
      <c r="AK127" s="471"/>
      <c r="AL127" s="471"/>
      <c r="AM127" s="470"/>
      <c r="AN127" s="471"/>
      <c r="AO127" s="472"/>
      <c r="AP127" s="6"/>
      <c r="AQ127" s="2"/>
      <c r="AR127" s="10"/>
      <c r="AS127" s="6"/>
      <c r="AT127" s="2"/>
      <c r="AU127" s="10"/>
      <c r="AV127" s="470"/>
      <c r="AW127" s="471"/>
      <c r="AX127" s="471"/>
      <c r="AY127" s="470"/>
      <c r="AZ127" s="471"/>
      <c r="BA127" s="472"/>
      <c r="BB127" s="6"/>
      <c r="BC127" s="31"/>
      <c r="BD127" s="31"/>
      <c r="BE127" s="39"/>
      <c r="BF127" s="2"/>
      <c r="BG127" s="10"/>
      <c r="BH127" s="470"/>
      <c r="BI127" s="471"/>
      <c r="BJ127" s="471"/>
      <c r="BK127" s="470"/>
      <c r="BL127" s="471"/>
      <c r="BM127" s="472"/>
      <c r="BN127" s="6"/>
      <c r="BO127" s="2"/>
      <c r="BP127" s="10"/>
      <c r="BQ127" s="6"/>
      <c r="BR127" s="2"/>
      <c r="BS127" s="10"/>
      <c r="BT127" s="470"/>
      <c r="BU127" s="471"/>
      <c r="BV127" s="471"/>
      <c r="BW127" s="470"/>
      <c r="BX127" s="471"/>
      <c r="BY127" s="472"/>
      <c r="BZ127" s="470"/>
      <c r="CA127" s="471"/>
      <c r="CB127" s="471"/>
      <c r="CC127" s="470"/>
      <c r="CD127" s="471"/>
      <c r="CE127" s="472"/>
      <c r="CF127" s="470"/>
      <c r="CG127" s="471"/>
      <c r="CH127" s="471"/>
      <c r="CI127" s="470"/>
      <c r="CJ127" s="471"/>
      <c r="CK127" s="472"/>
    </row>
    <row r="128" spans="5:89" ht="10.5" thickBot="1" x14ac:dyDescent="0.25">
      <c r="F128" s="298">
        <v>54</v>
      </c>
      <c r="G128" s="399">
        <v>16</v>
      </c>
      <c r="H128" s="55">
        <v>-79</v>
      </c>
      <c r="I128" s="300"/>
      <c r="J128" s="55"/>
      <c r="K128" s="56"/>
      <c r="L128" s="473"/>
      <c r="M128" s="474"/>
      <c r="N128" s="474"/>
      <c r="O128" s="473"/>
      <c r="P128" s="474"/>
      <c r="Q128" s="475"/>
      <c r="R128" s="54"/>
      <c r="S128" s="303"/>
      <c r="T128" s="303"/>
      <c r="U128" s="304"/>
      <c r="V128" s="55"/>
      <c r="W128" s="56"/>
      <c r="X128" s="473"/>
      <c r="Y128" s="474"/>
      <c r="Z128" s="474"/>
      <c r="AA128" s="473"/>
      <c r="AB128" s="474"/>
      <c r="AC128" s="475"/>
      <c r="AD128" s="8"/>
      <c r="AE128" s="8"/>
      <c r="AF128" s="11"/>
      <c r="AG128" s="7"/>
      <c r="AH128" s="8"/>
      <c r="AI128" s="11"/>
      <c r="AJ128" s="473"/>
      <c r="AK128" s="474"/>
      <c r="AL128" s="474"/>
      <c r="AM128" s="473"/>
      <c r="AN128" s="474"/>
      <c r="AO128" s="475"/>
      <c r="AP128" s="7"/>
      <c r="AQ128" s="8"/>
      <c r="AR128" s="11"/>
      <c r="AS128" s="7"/>
      <c r="AT128" s="8"/>
      <c r="AU128" s="11"/>
      <c r="AV128" s="473"/>
      <c r="AW128" s="474"/>
      <c r="AX128" s="474"/>
      <c r="AY128" s="473"/>
      <c r="AZ128" s="474"/>
      <c r="BA128" s="475"/>
      <c r="BB128" s="7"/>
      <c r="BC128" s="41"/>
      <c r="BD128" s="41"/>
      <c r="BE128" s="40"/>
      <c r="BF128" s="8"/>
      <c r="BG128" s="11"/>
      <c r="BH128" s="473"/>
      <c r="BI128" s="474"/>
      <c r="BJ128" s="474"/>
      <c r="BK128" s="473"/>
      <c r="BL128" s="474"/>
      <c r="BM128" s="475"/>
      <c r="BN128" s="7"/>
      <c r="BO128" s="8"/>
      <c r="BP128" s="11"/>
      <c r="BQ128" s="7"/>
      <c r="BR128" s="8"/>
      <c r="BS128" s="11"/>
      <c r="BT128" s="473"/>
      <c r="BU128" s="474"/>
      <c r="BV128" s="474"/>
      <c r="BW128" s="473"/>
      <c r="BX128" s="474"/>
      <c r="BY128" s="475"/>
      <c r="BZ128" s="473"/>
      <c r="CA128" s="474"/>
      <c r="CB128" s="474"/>
      <c r="CC128" s="473"/>
      <c r="CD128" s="474"/>
      <c r="CE128" s="475"/>
      <c r="CF128" s="473"/>
      <c r="CG128" s="474"/>
      <c r="CH128" s="474"/>
      <c r="CI128" s="473"/>
      <c r="CJ128" s="474"/>
      <c r="CK128" s="475"/>
    </row>
    <row r="129" spans="5:89" x14ac:dyDescent="0.2">
      <c r="F129" s="2"/>
      <c r="G129" s="2"/>
      <c r="H129" s="2"/>
      <c r="I129" s="2"/>
      <c r="J129" s="2"/>
      <c r="K129" s="2"/>
      <c r="L129" s="2"/>
      <c r="M129" s="2"/>
      <c r="N129" s="2"/>
      <c r="O129" s="2"/>
      <c r="P129" s="2"/>
      <c r="Q129" s="2"/>
      <c r="R129" s="2"/>
      <c r="S129" s="2"/>
      <c r="T129" s="2"/>
      <c r="U129" s="2"/>
      <c r="V129" s="2"/>
      <c r="W129" s="2"/>
      <c r="X129" s="2"/>
      <c r="Y129" s="2"/>
      <c r="Z129" s="2"/>
      <c r="AA129" s="2"/>
      <c r="AB129" s="2"/>
      <c r="AC129" s="2"/>
      <c r="AJ129" s="2"/>
      <c r="AK129" s="2"/>
      <c r="AL129" s="2"/>
      <c r="AM129" s="2"/>
      <c r="AN129" s="2"/>
      <c r="AO129" s="2"/>
      <c r="AV129" s="2"/>
      <c r="AW129" s="2"/>
      <c r="AX129" s="2"/>
      <c r="AY129" s="2"/>
      <c r="AZ129" s="2"/>
      <c r="BA129" s="2"/>
      <c r="BB129" s="2"/>
      <c r="BC129" s="2"/>
      <c r="BD129" s="2"/>
      <c r="BE129" s="2"/>
      <c r="BF129" s="2"/>
      <c r="BG129" s="2"/>
      <c r="BH129" s="2"/>
      <c r="BI129" s="2"/>
      <c r="BJ129" s="2"/>
      <c r="BK129" s="2"/>
      <c r="BL129" s="2"/>
      <c r="BM129" s="2"/>
      <c r="BT129" s="2"/>
      <c r="BU129" s="2"/>
      <c r="BV129" s="2"/>
      <c r="BW129" s="2"/>
      <c r="BX129" s="2"/>
      <c r="BY129" s="2"/>
    </row>
    <row r="130" spans="5:89" ht="10.5" x14ac:dyDescent="0.25">
      <c r="F130" s="26" t="s">
        <v>0</v>
      </c>
      <c r="G130" s="26"/>
      <c r="H130" s="26"/>
      <c r="I130" s="26"/>
      <c r="J130" s="26"/>
      <c r="K130" s="26"/>
      <c r="L130" s="2"/>
      <c r="M130" s="2"/>
      <c r="N130" s="2"/>
      <c r="O130" s="2"/>
      <c r="P130" s="2"/>
      <c r="Q130" s="2"/>
      <c r="R130" s="26" t="s">
        <v>1</v>
      </c>
      <c r="S130" s="25"/>
      <c r="T130" s="25"/>
      <c r="U130" s="25"/>
      <c r="X130" s="2"/>
      <c r="Y130" s="2"/>
      <c r="Z130" s="2"/>
      <c r="AA130" s="2"/>
      <c r="AB130" s="2"/>
      <c r="AC130" s="2"/>
      <c r="AJ130" s="2"/>
      <c r="AK130" s="2"/>
      <c r="AL130" s="2"/>
      <c r="AM130" s="2"/>
      <c r="AN130" s="2"/>
      <c r="AO130" s="2"/>
      <c r="AV130" s="2"/>
      <c r="AW130" s="2"/>
      <c r="AX130" s="2"/>
      <c r="AY130" s="2"/>
      <c r="AZ130" s="2"/>
      <c r="BA130" s="2"/>
      <c r="BB130" s="2"/>
      <c r="BC130" s="2"/>
      <c r="BD130" s="2"/>
      <c r="BE130" s="2"/>
      <c r="BF130" s="2"/>
      <c r="BG130" s="2"/>
      <c r="BH130" s="2"/>
      <c r="BI130" s="2"/>
      <c r="BJ130" s="2"/>
      <c r="BK130" s="2"/>
      <c r="BL130" s="2"/>
      <c r="BM130" s="2"/>
      <c r="BT130" s="2"/>
      <c r="BU130" s="2"/>
      <c r="BV130" s="2"/>
      <c r="BW130" s="2"/>
      <c r="BX130" s="2"/>
      <c r="BY130" s="2"/>
      <c r="BZ130" s="44" t="s">
        <v>515</v>
      </c>
      <c r="CF130" s="2"/>
      <c r="CG130" s="2"/>
      <c r="CH130" s="2"/>
      <c r="CI130" s="2"/>
      <c r="CJ130" s="2"/>
      <c r="CK130" s="2"/>
    </row>
    <row r="131" spans="5:89" ht="11" thickBot="1" x14ac:dyDescent="0.3">
      <c r="F131" s="26" t="s">
        <v>113</v>
      </c>
      <c r="G131" s="26" t="s">
        <v>108</v>
      </c>
      <c r="H131" s="26" t="s">
        <v>109</v>
      </c>
      <c r="I131" s="26" t="s">
        <v>110</v>
      </c>
      <c r="J131" s="26" t="s">
        <v>111</v>
      </c>
      <c r="K131" s="26" t="s">
        <v>112</v>
      </c>
      <c r="L131" s="2"/>
      <c r="M131" s="2"/>
      <c r="N131" s="2"/>
      <c r="O131" s="2"/>
      <c r="P131" s="2"/>
      <c r="Q131" s="2"/>
      <c r="R131" s="26" t="s">
        <v>113</v>
      </c>
      <c r="S131" s="159" t="s">
        <v>108</v>
      </c>
      <c r="T131" s="159" t="s">
        <v>109</v>
      </c>
      <c r="U131" s="26" t="s">
        <v>110</v>
      </c>
      <c r="V131" s="26" t="s">
        <v>111</v>
      </c>
      <c r="W131" s="26" t="s">
        <v>112</v>
      </c>
      <c r="X131" s="2"/>
      <c r="Y131" s="2"/>
      <c r="Z131" s="2"/>
      <c r="AA131" s="2"/>
      <c r="AB131" s="2"/>
      <c r="AC131" s="2"/>
      <c r="AJ131" s="2"/>
      <c r="AK131" s="2"/>
      <c r="AL131" s="2"/>
      <c r="AM131" s="2"/>
      <c r="AN131" s="2"/>
      <c r="AO131" s="2"/>
      <c r="AV131" s="2"/>
      <c r="AW131" s="2"/>
      <c r="AX131" s="2"/>
      <c r="AY131" s="2"/>
      <c r="AZ131" s="2"/>
      <c r="BA131" s="2"/>
      <c r="BB131" s="2"/>
      <c r="BC131" s="2"/>
      <c r="BD131" s="2"/>
      <c r="BE131" s="2"/>
      <c r="BF131" s="2"/>
      <c r="BG131" s="2"/>
      <c r="BH131" s="2"/>
      <c r="BI131" s="2"/>
      <c r="BJ131" s="2"/>
      <c r="BK131" s="2"/>
      <c r="BL131" s="2"/>
      <c r="BM131" s="2"/>
      <c r="BT131" s="2"/>
      <c r="BU131" s="2"/>
      <c r="BV131" s="2"/>
      <c r="BW131" s="2"/>
      <c r="BX131" s="2"/>
      <c r="BY131" s="2"/>
      <c r="BZ131" s="102" t="s">
        <v>88</v>
      </c>
      <c r="CA131" s="102" t="s">
        <v>83</v>
      </c>
      <c r="CB131" s="102" t="s">
        <v>84</v>
      </c>
      <c r="CC131" s="102" t="s">
        <v>87</v>
      </c>
      <c r="CD131" s="102" t="s">
        <v>85</v>
      </c>
      <c r="CE131" s="102" t="s">
        <v>86</v>
      </c>
      <c r="CF131" s="102" t="s">
        <v>512</v>
      </c>
      <c r="CG131" s="102" t="s">
        <v>514</v>
      </c>
      <c r="CH131" s="102" t="s">
        <v>513</v>
      </c>
      <c r="CI131" s="102" t="s">
        <v>516</v>
      </c>
      <c r="CJ131" s="102" t="s">
        <v>517</v>
      </c>
      <c r="CK131" s="102" t="s">
        <v>518</v>
      </c>
    </row>
    <row r="132" spans="5:89" x14ac:dyDescent="0.2">
      <c r="E132" s="1" t="s">
        <v>224</v>
      </c>
      <c r="F132" s="293">
        <v>1</v>
      </c>
      <c r="G132" s="294">
        <v>18</v>
      </c>
      <c r="H132" s="50">
        <v>-96</v>
      </c>
      <c r="I132" s="467"/>
      <c r="J132" s="468"/>
      <c r="K132" s="468"/>
      <c r="L132" s="467"/>
      <c r="M132" s="468"/>
      <c r="N132" s="468"/>
      <c r="O132" s="467"/>
      <c r="P132" s="468"/>
      <c r="Q132" s="469"/>
      <c r="R132" s="293">
        <v>6</v>
      </c>
      <c r="S132" s="294">
        <v>17</v>
      </c>
      <c r="T132" s="301">
        <v>-91</v>
      </c>
      <c r="U132" s="467"/>
      <c r="V132" s="468"/>
      <c r="W132" s="468"/>
      <c r="X132" s="467"/>
      <c r="Y132" s="468"/>
      <c r="Z132" s="468"/>
      <c r="AA132" s="467"/>
      <c r="AB132" s="468"/>
      <c r="AC132" s="469"/>
      <c r="AD132" s="414">
        <v>7.2</v>
      </c>
      <c r="AE132" s="50">
        <v>18</v>
      </c>
      <c r="AF132" s="305">
        <v>-87</v>
      </c>
      <c r="AG132" s="96">
        <v>15</v>
      </c>
      <c r="AH132" s="50">
        <v>18</v>
      </c>
      <c r="AI132" s="307">
        <v>-84</v>
      </c>
      <c r="AJ132" s="467"/>
      <c r="AK132" s="468"/>
      <c r="AL132" s="468"/>
      <c r="AM132" s="467"/>
      <c r="AN132" s="468"/>
      <c r="AO132" s="469"/>
      <c r="AP132" s="414">
        <v>7.2</v>
      </c>
      <c r="AQ132" s="50">
        <v>17</v>
      </c>
      <c r="AR132" s="305">
        <v>-86</v>
      </c>
      <c r="AS132" s="306">
        <v>15</v>
      </c>
      <c r="AT132" s="50">
        <v>17</v>
      </c>
      <c r="AU132" s="307">
        <v>-83</v>
      </c>
      <c r="AV132" s="467"/>
      <c r="AW132" s="468"/>
      <c r="AX132" s="468"/>
      <c r="AY132" s="467"/>
      <c r="AZ132" s="468"/>
      <c r="BA132" s="469"/>
      <c r="BB132" s="293">
        <v>6</v>
      </c>
      <c r="BC132" s="294">
        <v>17</v>
      </c>
      <c r="BD132" s="301">
        <v>-91</v>
      </c>
      <c r="BE132" s="302">
        <v>12</v>
      </c>
      <c r="BF132" s="294">
        <v>17</v>
      </c>
      <c r="BG132" s="51">
        <v>-87</v>
      </c>
      <c r="BH132" s="467"/>
      <c r="BI132" s="468"/>
      <c r="BJ132" s="468"/>
      <c r="BK132" s="467"/>
      <c r="BL132" s="468"/>
      <c r="BM132" s="469"/>
      <c r="BN132" s="414">
        <v>7.2</v>
      </c>
      <c r="BO132" s="50">
        <v>17</v>
      </c>
      <c r="BP132" s="305">
        <v>-86</v>
      </c>
      <c r="BQ132" s="306">
        <v>15</v>
      </c>
      <c r="BR132" s="50">
        <v>17</v>
      </c>
      <c r="BS132" s="307">
        <v>-83</v>
      </c>
      <c r="BT132" s="467"/>
      <c r="BU132" s="468"/>
      <c r="BV132" s="468"/>
      <c r="BW132" s="467"/>
      <c r="BX132" s="468"/>
      <c r="BY132" s="469"/>
      <c r="BZ132" s="467"/>
      <c r="CA132" s="468"/>
      <c r="CB132" s="468"/>
      <c r="CC132" s="467"/>
      <c r="CD132" s="468"/>
      <c r="CE132" s="469"/>
      <c r="CF132" s="467"/>
      <c r="CG132" s="468"/>
      <c r="CH132" s="468"/>
      <c r="CI132" s="467"/>
      <c r="CJ132" s="468"/>
      <c r="CK132" s="469"/>
    </row>
    <row r="133" spans="5:89" x14ac:dyDescent="0.2">
      <c r="E133" s="234" t="s">
        <v>225</v>
      </c>
      <c r="F133" s="296">
        <v>5.5</v>
      </c>
      <c r="G133" s="109">
        <v>18</v>
      </c>
      <c r="H133" s="2">
        <v>-94</v>
      </c>
      <c r="I133" s="470"/>
      <c r="J133" s="471"/>
      <c r="K133" s="471"/>
      <c r="L133" s="470"/>
      <c r="M133" s="471"/>
      <c r="N133" s="471"/>
      <c r="O133" s="470"/>
      <c r="P133" s="471"/>
      <c r="Q133" s="472"/>
      <c r="R133" s="297">
        <v>9</v>
      </c>
      <c r="S133" s="109">
        <v>17</v>
      </c>
      <c r="T133" s="31">
        <v>-91</v>
      </c>
      <c r="U133" s="470"/>
      <c r="V133" s="471"/>
      <c r="W133" s="471"/>
      <c r="X133" s="470"/>
      <c r="Y133" s="471"/>
      <c r="Z133" s="471"/>
      <c r="AA133" s="470"/>
      <c r="AB133" s="471"/>
      <c r="AC133" s="472"/>
      <c r="AD133" s="39">
        <v>14.4</v>
      </c>
      <c r="AE133" s="2">
        <v>18</v>
      </c>
      <c r="AF133" s="95">
        <v>-85</v>
      </c>
      <c r="AG133" s="24">
        <v>30</v>
      </c>
      <c r="AH133" s="2">
        <v>18</v>
      </c>
      <c r="AI133" s="308">
        <v>-84</v>
      </c>
      <c r="AJ133" s="470"/>
      <c r="AK133" s="471"/>
      <c r="AL133" s="471"/>
      <c r="AM133" s="470"/>
      <c r="AN133" s="471"/>
      <c r="AO133" s="472"/>
      <c r="AP133" s="39">
        <v>14.4</v>
      </c>
      <c r="AQ133" s="2">
        <v>17</v>
      </c>
      <c r="AR133" s="95">
        <v>-86</v>
      </c>
      <c r="AS133" s="24">
        <v>30</v>
      </c>
      <c r="AT133" s="2">
        <v>17</v>
      </c>
      <c r="AU133" s="308">
        <v>-82</v>
      </c>
      <c r="AV133" s="470"/>
      <c r="AW133" s="471"/>
      <c r="AX133" s="471"/>
      <c r="AY133" s="470"/>
      <c r="AZ133" s="471"/>
      <c r="BA133" s="472"/>
      <c r="BB133" s="297">
        <v>9</v>
      </c>
      <c r="BC133" s="109">
        <v>17</v>
      </c>
      <c r="BD133" s="31">
        <v>-91</v>
      </c>
      <c r="BE133" s="30">
        <v>18</v>
      </c>
      <c r="BF133" s="109">
        <v>17</v>
      </c>
      <c r="BG133" s="53">
        <v>-87</v>
      </c>
      <c r="BH133" s="470"/>
      <c r="BI133" s="471"/>
      <c r="BJ133" s="471"/>
      <c r="BK133" s="470"/>
      <c r="BL133" s="471"/>
      <c r="BM133" s="472"/>
      <c r="BN133" s="39">
        <v>14.4</v>
      </c>
      <c r="BO133" s="2">
        <v>17</v>
      </c>
      <c r="BP133" s="95">
        <v>-86</v>
      </c>
      <c r="BQ133" s="24">
        <v>30</v>
      </c>
      <c r="BR133" s="2">
        <v>17</v>
      </c>
      <c r="BS133" s="308">
        <v>-82</v>
      </c>
      <c r="BT133" s="470"/>
      <c r="BU133" s="471"/>
      <c r="BV133" s="471"/>
      <c r="BW133" s="470"/>
      <c r="BX133" s="471"/>
      <c r="BY133" s="472"/>
      <c r="BZ133" s="470"/>
      <c r="CA133" s="471"/>
      <c r="CB133" s="471"/>
      <c r="CC133" s="470"/>
      <c r="CD133" s="471"/>
      <c r="CE133" s="472"/>
      <c r="CF133" s="470"/>
      <c r="CG133" s="471"/>
      <c r="CH133" s="471"/>
      <c r="CI133" s="470"/>
      <c r="CJ133" s="471"/>
      <c r="CK133" s="472"/>
    </row>
    <row r="134" spans="5:89" x14ac:dyDescent="0.2">
      <c r="F134" s="297">
        <v>6</v>
      </c>
      <c r="G134" s="109">
        <v>18</v>
      </c>
      <c r="H134" s="2">
        <v>-91</v>
      </c>
      <c r="I134" s="470"/>
      <c r="J134" s="471"/>
      <c r="K134" s="471"/>
      <c r="L134" s="470"/>
      <c r="M134" s="471"/>
      <c r="N134" s="471"/>
      <c r="O134" s="470"/>
      <c r="P134" s="471"/>
      <c r="Q134" s="472"/>
      <c r="R134" s="297">
        <v>12</v>
      </c>
      <c r="S134" s="109">
        <v>17</v>
      </c>
      <c r="T134" s="31">
        <v>-90</v>
      </c>
      <c r="U134" s="470"/>
      <c r="V134" s="471"/>
      <c r="W134" s="471"/>
      <c r="X134" s="470"/>
      <c r="Y134" s="471"/>
      <c r="Z134" s="471"/>
      <c r="AA134" s="470"/>
      <c r="AB134" s="471"/>
      <c r="AC134" s="472"/>
      <c r="AD134" s="39">
        <v>21.7</v>
      </c>
      <c r="AE134" s="2">
        <v>18</v>
      </c>
      <c r="AF134" s="95">
        <v>-83</v>
      </c>
      <c r="AG134" s="24">
        <v>45</v>
      </c>
      <c r="AH134" s="2">
        <v>18</v>
      </c>
      <c r="AI134" s="308">
        <v>-82</v>
      </c>
      <c r="AJ134" s="470"/>
      <c r="AK134" s="471"/>
      <c r="AL134" s="471"/>
      <c r="AM134" s="470"/>
      <c r="AN134" s="471"/>
      <c r="AO134" s="472"/>
      <c r="AP134" s="39">
        <v>21.7</v>
      </c>
      <c r="AQ134" s="2">
        <v>17</v>
      </c>
      <c r="AR134" s="95">
        <v>-84</v>
      </c>
      <c r="AS134" s="24">
        <v>45</v>
      </c>
      <c r="AT134" s="2">
        <v>17</v>
      </c>
      <c r="AU134" s="308">
        <v>-81</v>
      </c>
      <c r="AV134" s="470"/>
      <c r="AW134" s="471"/>
      <c r="AX134" s="471"/>
      <c r="AY134" s="470"/>
      <c r="AZ134" s="471"/>
      <c r="BA134" s="472"/>
      <c r="BB134" s="297">
        <v>12</v>
      </c>
      <c r="BC134" s="109">
        <v>17</v>
      </c>
      <c r="BD134" s="31">
        <v>-90</v>
      </c>
      <c r="BE134" s="30">
        <v>24</v>
      </c>
      <c r="BF134" s="109">
        <v>17</v>
      </c>
      <c r="BG134" s="53">
        <v>-86</v>
      </c>
      <c r="BH134" s="470"/>
      <c r="BI134" s="471"/>
      <c r="BJ134" s="471"/>
      <c r="BK134" s="470"/>
      <c r="BL134" s="471"/>
      <c r="BM134" s="472"/>
      <c r="BN134" s="39">
        <v>21.7</v>
      </c>
      <c r="BO134" s="2">
        <v>17</v>
      </c>
      <c r="BP134" s="95">
        <v>-84</v>
      </c>
      <c r="BQ134" s="24">
        <v>45</v>
      </c>
      <c r="BR134" s="2">
        <v>17</v>
      </c>
      <c r="BS134" s="308">
        <v>-81</v>
      </c>
      <c r="BT134" s="470"/>
      <c r="BU134" s="471"/>
      <c r="BV134" s="471"/>
      <c r="BW134" s="470"/>
      <c r="BX134" s="471"/>
      <c r="BY134" s="472"/>
      <c r="BZ134" s="470"/>
      <c r="CA134" s="471"/>
      <c r="CB134" s="471"/>
      <c r="CC134" s="470"/>
      <c r="CD134" s="471"/>
      <c r="CE134" s="472"/>
      <c r="CF134" s="470"/>
      <c r="CG134" s="471"/>
      <c r="CH134" s="471"/>
      <c r="CI134" s="470"/>
      <c r="CJ134" s="471"/>
      <c r="CK134" s="472"/>
    </row>
    <row r="135" spans="5:89" x14ac:dyDescent="0.2">
      <c r="F135" s="297">
        <v>9</v>
      </c>
      <c r="G135" s="109">
        <v>18</v>
      </c>
      <c r="H135" s="2">
        <v>-91</v>
      </c>
      <c r="I135" s="470"/>
      <c r="J135" s="471"/>
      <c r="K135" s="471"/>
      <c r="L135" s="470"/>
      <c r="M135" s="471"/>
      <c r="N135" s="471"/>
      <c r="O135" s="470"/>
      <c r="P135" s="471"/>
      <c r="Q135" s="472"/>
      <c r="R135" s="297">
        <v>18</v>
      </c>
      <c r="S135" s="109">
        <v>17</v>
      </c>
      <c r="T135" s="31">
        <v>-90</v>
      </c>
      <c r="U135" s="470"/>
      <c r="V135" s="471"/>
      <c r="W135" s="471"/>
      <c r="X135" s="470"/>
      <c r="Y135" s="471"/>
      <c r="Z135" s="471"/>
      <c r="AA135" s="470"/>
      <c r="AB135" s="471"/>
      <c r="AC135" s="472"/>
      <c r="AD135" s="39">
        <v>28.9</v>
      </c>
      <c r="AE135" s="2">
        <v>18</v>
      </c>
      <c r="AF135" s="95">
        <v>-82</v>
      </c>
      <c r="AG135" s="24">
        <v>60</v>
      </c>
      <c r="AH135" s="2">
        <v>18</v>
      </c>
      <c r="AI135" s="308">
        <v>-79</v>
      </c>
      <c r="AJ135" s="470"/>
      <c r="AK135" s="471"/>
      <c r="AL135" s="471"/>
      <c r="AM135" s="470"/>
      <c r="AN135" s="471"/>
      <c r="AO135" s="472"/>
      <c r="AP135" s="39">
        <v>28.9</v>
      </c>
      <c r="AQ135" s="2">
        <v>17</v>
      </c>
      <c r="AR135" s="95">
        <v>-81</v>
      </c>
      <c r="AS135" s="24">
        <v>60</v>
      </c>
      <c r="AT135" s="2">
        <v>17</v>
      </c>
      <c r="AU135" s="308">
        <v>-79</v>
      </c>
      <c r="AV135" s="470"/>
      <c r="AW135" s="471"/>
      <c r="AX135" s="471"/>
      <c r="AY135" s="470"/>
      <c r="AZ135" s="471"/>
      <c r="BA135" s="472"/>
      <c r="BB135" s="297">
        <v>18</v>
      </c>
      <c r="BC135" s="109">
        <v>17</v>
      </c>
      <c r="BD135" s="31">
        <v>-90</v>
      </c>
      <c r="BE135" s="30">
        <v>36</v>
      </c>
      <c r="BF135" s="109">
        <v>17</v>
      </c>
      <c r="BG135" s="53">
        <v>-86</v>
      </c>
      <c r="BH135" s="470"/>
      <c r="BI135" s="471"/>
      <c r="BJ135" s="471"/>
      <c r="BK135" s="470"/>
      <c r="BL135" s="471"/>
      <c r="BM135" s="472"/>
      <c r="BN135" s="39">
        <v>28.9</v>
      </c>
      <c r="BO135" s="2">
        <v>17</v>
      </c>
      <c r="BP135" s="95">
        <v>-81</v>
      </c>
      <c r="BQ135" s="24">
        <v>60</v>
      </c>
      <c r="BR135" s="2">
        <v>17</v>
      </c>
      <c r="BS135" s="308">
        <v>-79</v>
      </c>
      <c r="BT135" s="470"/>
      <c r="BU135" s="471"/>
      <c r="BV135" s="471"/>
      <c r="BW135" s="470"/>
      <c r="BX135" s="471"/>
      <c r="BY135" s="472"/>
      <c r="BZ135" s="470"/>
      <c r="CA135" s="471"/>
      <c r="CB135" s="471"/>
      <c r="CC135" s="470"/>
      <c r="CD135" s="471"/>
      <c r="CE135" s="472"/>
      <c r="CF135" s="470"/>
      <c r="CG135" s="471"/>
      <c r="CH135" s="471"/>
      <c r="CI135" s="470"/>
      <c r="CJ135" s="471"/>
      <c r="CK135" s="472"/>
    </row>
    <row r="136" spans="5:89" x14ac:dyDescent="0.2">
      <c r="F136" s="297">
        <v>11</v>
      </c>
      <c r="G136" s="109">
        <v>18</v>
      </c>
      <c r="H136" s="2">
        <v>-90</v>
      </c>
      <c r="I136" s="470"/>
      <c r="J136" s="471"/>
      <c r="K136" s="471"/>
      <c r="L136" s="470"/>
      <c r="M136" s="471"/>
      <c r="N136" s="471"/>
      <c r="O136" s="470"/>
      <c r="P136" s="471"/>
      <c r="Q136" s="472"/>
      <c r="R136" s="297">
        <v>24</v>
      </c>
      <c r="S136" s="109">
        <v>17</v>
      </c>
      <c r="T136" s="31">
        <v>-88</v>
      </c>
      <c r="U136" s="470"/>
      <c r="V136" s="471"/>
      <c r="W136" s="471"/>
      <c r="X136" s="470"/>
      <c r="Y136" s="471"/>
      <c r="Z136" s="471"/>
      <c r="AA136" s="470"/>
      <c r="AB136" s="471"/>
      <c r="AC136" s="472"/>
      <c r="AD136" s="39">
        <v>43.3</v>
      </c>
      <c r="AE136" s="2">
        <v>18</v>
      </c>
      <c r="AF136" s="95">
        <v>-83</v>
      </c>
      <c r="AG136" s="24">
        <v>90</v>
      </c>
      <c r="AH136" s="2">
        <v>18</v>
      </c>
      <c r="AI136" s="308">
        <v>-72</v>
      </c>
      <c r="AJ136" s="470"/>
      <c r="AK136" s="471"/>
      <c r="AL136" s="471"/>
      <c r="AM136" s="470"/>
      <c r="AN136" s="471"/>
      <c r="AO136" s="472"/>
      <c r="AP136" s="39">
        <v>43.3</v>
      </c>
      <c r="AQ136" s="2">
        <v>16</v>
      </c>
      <c r="AR136" s="95">
        <v>-78</v>
      </c>
      <c r="AS136" s="24">
        <v>90</v>
      </c>
      <c r="AT136" s="2">
        <v>17</v>
      </c>
      <c r="AU136" s="308">
        <v>-76</v>
      </c>
      <c r="AV136" s="470"/>
      <c r="AW136" s="471"/>
      <c r="AX136" s="471"/>
      <c r="AY136" s="470"/>
      <c r="AZ136" s="471"/>
      <c r="BA136" s="472"/>
      <c r="BB136" s="297">
        <v>24</v>
      </c>
      <c r="BC136" s="109">
        <v>17</v>
      </c>
      <c r="BD136" s="31">
        <v>-88</v>
      </c>
      <c r="BE136" s="30">
        <v>48</v>
      </c>
      <c r="BF136" s="109">
        <v>17</v>
      </c>
      <c r="BG136" s="53">
        <v>-84</v>
      </c>
      <c r="BH136" s="470"/>
      <c r="BI136" s="471"/>
      <c r="BJ136" s="471"/>
      <c r="BK136" s="470"/>
      <c r="BL136" s="471"/>
      <c r="BM136" s="472"/>
      <c r="BN136" s="39">
        <v>43.3</v>
      </c>
      <c r="BO136" s="2">
        <v>16</v>
      </c>
      <c r="BP136" s="95">
        <v>-78</v>
      </c>
      <c r="BQ136" s="24">
        <v>90</v>
      </c>
      <c r="BR136" s="2">
        <v>17</v>
      </c>
      <c r="BS136" s="308">
        <v>-76</v>
      </c>
      <c r="BT136" s="470"/>
      <c r="BU136" s="471"/>
      <c r="BV136" s="471"/>
      <c r="BW136" s="470"/>
      <c r="BX136" s="471"/>
      <c r="BY136" s="472"/>
      <c r="BZ136" s="470"/>
      <c r="CA136" s="471"/>
      <c r="CB136" s="471"/>
      <c r="CC136" s="470"/>
      <c r="CD136" s="471"/>
      <c r="CE136" s="472"/>
      <c r="CF136" s="470"/>
      <c r="CG136" s="471"/>
      <c r="CH136" s="471"/>
      <c r="CI136" s="470"/>
      <c r="CJ136" s="471"/>
      <c r="CK136" s="472"/>
    </row>
    <row r="137" spans="5:89" x14ac:dyDescent="0.2">
      <c r="F137" s="297">
        <v>12</v>
      </c>
      <c r="G137" s="109">
        <v>18</v>
      </c>
      <c r="H137" s="2">
        <v>-91</v>
      </c>
      <c r="I137" s="470"/>
      <c r="J137" s="471"/>
      <c r="K137" s="471"/>
      <c r="L137" s="470"/>
      <c r="M137" s="471"/>
      <c r="N137" s="471"/>
      <c r="O137" s="470"/>
      <c r="P137" s="471"/>
      <c r="Q137" s="472"/>
      <c r="R137" s="297">
        <v>36</v>
      </c>
      <c r="S137" s="109">
        <v>17</v>
      </c>
      <c r="T137" s="31">
        <v>-84</v>
      </c>
      <c r="U137" s="470"/>
      <c r="V137" s="471"/>
      <c r="W137" s="471"/>
      <c r="X137" s="470"/>
      <c r="Y137" s="471"/>
      <c r="Z137" s="471"/>
      <c r="AA137" s="470"/>
      <c r="AB137" s="471"/>
      <c r="AC137" s="472"/>
      <c r="AD137" s="39">
        <v>57.8</v>
      </c>
      <c r="AE137" s="2">
        <v>17</v>
      </c>
      <c r="AF137" s="95">
        <v>-76</v>
      </c>
      <c r="AG137" s="24">
        <v>120</v>
      </c>
      <c r="AH137" s="2">
        <v>17</v>
      </c>
      <c r="AI137" s="308">
        <v>-71</v>
      </c>
      <c r="AJ137" s="470"/>
      <c r="AK137" s="471"/>
      <c r="AL137" s="471"/>
      <c r="AM137" s="470"/>
      <c r="AN137" s="471"/>
      <c r="AO137" s="472"/>
      <c r="AP137" s="39">
        <v>57.8</v>
      </c>
      <c r="AQ137" s="2">
        <v>15</v>
      </c>
      <c r="AR137" s="95">
        <v>-74</v>
      </c>
      <c r="AS137" s="24">
        <v>120</v>
      </c>
      <c r="AT137" s="2">
        <v>15</v>
      </c>
      <c r="AU137" s="308">
        <v>-72</v>
      </c>
      <c r="AV137" s="470"/>
      <c r="AW137" s="471"/>
      <c r="AX137" s="471"/>
      <c r="AY137" s="470"/>
      <c r="AZ137" s="471"/>
      <c r="BA137" s="472"/>
      <c r="BB137" s="297">
        <v>36</v>
      </c>
      <c r="BC137" s="109">
        <v>17</v>
      </c>
      <c r="BD137" s="31">
        <v>-84</v>
      </c>
      <c r="BE137" s="30">
        <v>72</v>
      </c>
      <c r="BF137" s="109">
        <v>17</v>
      </c>
      <c r="BG137" s="53">
        <v>-80</v>
      </c>
      <c r="BH137" s="470"/>
      <c r="BI137" s="471"/>
      <c r="BJ137" s="471"/>
      <c r="BK137" s="470"/>
      <c r="BL137" s="471"/>
      <c r="BM137" s="472"/>
      <c r="BN137" s="39">
        <v>57.8</v>
      </c>
      <c r="BO137" s="2">
        <v>15</v>
      </c>
      <c r="BP137" s="95">
        <v>-74</v>
      </c>
      <c r="BQ137" s="24">
        <v>120</v>
      </c>
      <c r="BR137" s="2">
        <v>15</v>
      </c>
      <c r="BS137" s="308">
        <v>-72</v>
      </c>
      <c r="BT137" s="470"/>
      <c r="BU137" s="471"/>
      <c r="BV137" s="471"/>
      <c r="BW137" s="470"/>
      <c r="BX137" s="471"/>
      <c r="BY137" s="472"/>
      <c r="BZ137" s="470"/>
      <c r="CA137" s="471"/>
      <c r="CB137" s="471"/>
      <c r="CC137" s="470"/>
      <c r="CD137" s="471"/>
      <c r="CE137" s="472"/>
      <c r="CF137" s="470"/>
      <c r="CG137" s="471"/>
      <c r="CH137" s="471"/>
      <c r="CI137" s="470"/>
      <c r="CJ137" s="471"/>
      <c r="CK137" s="472"/>
    </row>
    <row r="138" spans="5:89" x14ac:dyDescent="0.2">
      <c r="F138" s="297">
        <v>18</v>
      </c>
      <c r="G138" s="109">
        <v>18</v>
      </c>
      <c r="H138" s="2">
        <v>-90</v>
      </c>
      <c r="I138" s="470"/>
      <c r="J138" s="471"/>
      <c r="K138" s="471"/>
      <c r="L138" s="470"/>
      <c r="M138" s="471"/>
      <c r="N138" s="471"/>
      <c r="O138" s="470"/>
      <c r="P138" s="471"/>
      <c r="Q138" s="472"/>
      <c r="R138" s="297">
        <v>48</v>
      </c>
      <c r="S138" s="109">
        <v>16</v>
      </c>
      <c r="T138" s="31">
        <v>-80</v>
      </c>
      <c r="U138" s="470"/>
      <c r="V138" s="471"/>
      <c r="W138" s="471"/>
      <c r="X138" s="470"/>
      <c r="Y138" s="471"/>
      <c r="Z138" s="471"/>
      <c r="AA138" s="470"/>
      <c r="AB138" s="471"/>
      <c r="AC138" s="472"/>
      <c r="AD138" s="39">
        <v>65</v>
      </c>
      <c r="AE138" s="2">
        <v>14</v>
      </c>
      <c r="AF138" s="95">
        <v>-72</v>
      </c>
      <c r="AG138" s="24">
        <v>135</v>
      </c>
      <c r="AH138" s="2">
        <v>14</v>
      </c>
      <c r="AI138" s="308">
        <v>-70</v>
      </c>
      <c r="AJ138" s="470"/>
      <c r="AK138" s="471"/>
      <c r="AL138" s="471"/>
      <c r="AM138" s="470"/>
      <c r="AN138" s="471"/>
      <c r="AO138" s="472"/>
      <c r="AP138" s="39">
        <v>65</v>
      </c>
      <c r="AQ138" s="2">
        <v>14</v>
      </c>
      <c r="AR138" s="95">
        <v>-73</v>
      </c>
      <c r="AS138" s="24">
        <v>135</v>
      </c>
      <c r="AT138" s="2">
        <v>12</v>
      </c>
      <c r="AU138" s="308">
        <v>-69</v>
      </c>
      <c r="AV138" s="470"/>
      <c r="AW138" s="471"/>
      <c r="AX138" s="471"/>
      <c r="AY138" s="470"/>
      <c r="AZ138" s="471"/>
      <c r="BA138" s="472"/>
      <c r="BB138" s="297">
        <v>48</v>
      </c>
      <c r="BC138" s="109">
        <v>16</v>
      </c>
      <c r="BD138" s="31">
        <v>-80</v>
      </c>
      <c r="BE138" s="30">
        <v>96</v>
      </c>
      <c r="BF138" s="109">
        <v>16</v>
      </c>
      <c r="BG138" s="53">
        <v>-76</v>
      </c>
      <c r="BH138" s="470"/>
      <c r="BI138" s="471"/>
      <c r="BJ138" s="471"/>
      <c r="BK138" s="470"/>
      <c r="BL138" s="471"/>
      <c r="BM138" s="472"/>
      <c r="BN138" s="39">
        <v>65</v>
      </c>
      <c r="BO138" s="2">
        <v>14</v>
      </c>
      <c r="BP138" s="95">
        <v>-73</v>
      </c>
      <c r="BQ138" s="24">
        <v>135</v>
      </c>
      <c r="BR138" s="2">
        <v>12</v>
      </c>
      <c r="BS138" s="308">
        <v>-69</v>
      </c>
      <c r="BT138" s="470"/>
      <c r="BU138" s="471"/>
      <c r="BV138" s="471"/>
      <c r="BW138" s="470"/>
      <c r="BX138" s="471"/>
      <c r="BY138" s="472"/>
      <c r="BZ138" s="470"/>
      <c r="CA138" s="471"/>
      <c r="CB138" s="471"/>
      <c r="CC138" s="470"/>
      <c r="CD138" s="471"/>
      <c r="CE138" s="472"/>
      <c r="CF138" s="470"/>
      <c r="CG138" s="471"/>
      <c r="CH138" s="471"/>
      <c r="CI138" s="470"/>
      <c r="CJ138" s="471"/>
      <c r="CK138" s="472"/>
    </row>
    <row r="139" spans="5:89" x14ac:dyDescent="0.2">
      <c r="F139" s="297">
        <v>24</v>
      </c>
      <c r="G139" s="109">
        <v>18</v>
      </c>
      <c r="H139" s="2">
        <v>-88</v>
      </c>
      <c r="I139" s="470"/>
      <c r="J139" s="471"/>
      <c r="K139" s="471"/>
      <c r="L139" s="470"/>
      <c r="M139" s="471"/>
      <c r="N139" s="471"/>
      <c r="O139" s="470"/>
      <c r="P139" s="471"/>
      <c r="Q139" s="472"/>
      <c r="R139" s="297">
        <v>54</v>
      </c>
      <c r="S139" s="109">
        <v>15</v>
      </c>
      <c r="T139" s="31">
        <v>-79</v>
      </c>
      <c r="U139" s="470"/>
      <c r="V139" s="471"/>
      <c r="W139" s="471"/>
      <c r="X139" s="470"/>
      <c r="Y139" s="471"/>
      <c r="Z139" s="471"/>
      <c r="AA139" s="470"/>
      <c r="AB139" s="471"/>
      <c r="AC139" s="472"/>
      <c r="AD139" s="39">
        <v>72.2</v>
      </c>
      <c r="AE139" s="2">
        <v>13</v>
      </c>
      <c r="AF139" s="95">
        <v>-70</v>
      </c>
      <c r="AG139" s="21">
        <v>150</v>
      </c>
      <c r="AH139" s="2">
        <v>11</v>
      </c>
      <c r="AI139" s="308">
        <v>-68</v>
      </c>
      <c r="AJ139" s="470"/>
      <c r="AK139" s="471"/>
      <c r="AL139" s="471"/>
      <c r="AM139" s="470"/>
      <c r="AN139" s="471"/>
      <c r="AO139" s="472"/>
      <c r="AP139" s="39">
        <v>72.2</v>
      </c>
      <c r="AQ139" s="2">
        <v>12</v>
      </c>
      <c r="AR139" s="95">
        <v>-74</v>
      </c>
      <c r="AS139" s="21">
        <v>150</v>
      </c>
      <c r="AT139" s="2">
        <v>9</v>
      </c>
      <c r="AU139" s="308">
        <v>-67</v>
      </c>
      <c r="AV139" s="470"/>
      <c r="AW139" s="471"/>
      <c r="AX139" s="471"/>
      <c r="AY139" s="470"/>
      <c r="AZ139" s="471"/>
      <c r="BA139" s="472"/>
      <c r="BB139" s="297">
        <v>54</v>
      </c>
      <c r="BC139" s="109">
        <v>15</v>
      </c>
      <c r="BD139" s="31">
        <v>-79</v>
      </c>
      <c r="BE139" s="30">
        <v>108</v>
      </c>
      <c r="BF139" s="109">
        <v>15</v>
      </c>
      <c r="BG139" s="53">
        <v>-75</v>
      </c>
      <c r="BH139" s="470"/>
      <c r="BI139" s="471"/>
      <c r="BJ139" s="471"/>
      <c r="BK139" s="470"/>
      <c r="BL139" s="471"/>
      <c r="BM139" s="472"/>
      <c r="BN139" s="39">
        <v>72.2</v>
      </c>
      <c r="BO139" s="2">
        <v>12</v>
      </c>
      <c r="BP139" s="95">
        <v>-74</v>
      </c>
      <c r="BQ139" s="21">
        <v>150</v>
      </c>
      <c r="BR139" s="2">
        <v>9</v>
      </c>
      <c r="BS139" s="308">
        <v>-67</v>
      </c>
      <c r="BT139" s="470"/>
      <c r="BU139" s="471"/>
      <c r="BV139" s="471"/>
      <c r="BW139" s="470"/>
      <c r="BX139" s="471"/>
      <c r="BY139" s="472"/>
      <c r="BZ139" s="470"/>
      <c r="CA139" s="471"/>
      <c r="CB139" s="471"/>
      <c r="CC139" s="470"/>
      <c r="CD139" s="471"/>
      <c r="CE139" s="472"/>
      <c r="CF139" s="470"/>
      <c r="CG139" s="471"/>
      <c r="CH139" s="471"/>
      <c r="CI139" s="470"/>
      <c r="CJ139" s="471"/>
      <c r="CK139" s="472"/>
    </row>
    <row r="140" spans="5:89" x14ac:dyDescent="0.2">
      <c r="F140" s="297">
        <v>36</v>
      </c>
      <c r="G140" s="109">
        <v>18</v>
      </c>
      <c r="H140" s="2">
        <v>-85</v>
      </c>
      <c r="I140" s="470"/>
      <c r="J140" s="471"/>
      <c r="K140" s="471"/>
      <c r="L140" s="470"/>
      <c r="M140" s="471"/>
      <c r="N140" s="471"/>
      <c r="O140" s="470"/>
      <c r="P140" s="471"/>
      <c r="Q140" s="472"/>
      <c r="R140" s="52"/>
      <c r="S140" s="2"/>
      <c r="T140" s="2"/>
      <c r="U140" s="470"/>
      <c r="V140" s="471"/>
      <c r="W140" s="471"/>
      <c r="X140" s="470"/>
      <c r="Y140" s="471"/>
      <c r="Z140" s="471"/>
      <c r="AA140" s="470"/>
      <c r="AB140" s="471"/>
      <c r="AC140" s="472"/>
      <c r="AD140" s="52"/>
      <c r="AE140" s="2"/>
      <c r="AF140" s="10"/>
      <c r="AG140" s="2"/>
      <c r="AH140" s="2"/>
      <c r="AI140" s="53"/>
      <c r="AJ140" s="470"/>
      <c r="AK140" s="471"/>
      <c r="AL140" s="471"/>
      <c r="AM140" s="470"/>
      <c r="AN140" s="471"/>
      <c r="AO140" s="472"/>
      <c r="AP140" s="39"/>
      <c r="AQ140" s="2"/>
      <c r="AR140" s="10"/>
      <c r="AS140" s="2"/>
      <c r="AT140" s="2"/>
      <c r="AU140" s="53"/>
      <c r="AV140" s="470"/>
      <c r="AW140" s="471"/>
      <c r="AX140" s="471"/>
      <c r="AY140" s="470"/>
      <c r="AZ140" s="471"/>
      <c r="BA140" s="472"/>
      <c r="BB140" s="52"/>
      <c r="BC140" s="2"/>
      <c r="BD140" s="2"/>
      <c r="BE140" s="39"/>
      <c r="BF140" s="24"/>
      <c r="BG140" s="53"/>
      <c r="BH140" s="470"/>
      <c r="BI140" s="471"/>
      <c r="BJ140" s="471"/>
      <c r="BK140" s="470"/>
      <c r="BL140" s="471"/>
      <c r="BM140" s="472"/>
      <c r="BN140" s="52"/>
      <c r="BO140" s="2"/>
      <c r="BP140" s="10"/>
      <c r="BQ140" s="2"/>
      <c r="BR140" s="2"/>
      <c r="BS140" s="53"/>
      <c r="BT140" s="470"/>
      <c r="BU140" s="471"/>
      <c r="BV140" s="471"/>
      <c r="BW140" s="470"/>
      <c r="BX140" s="471"/>
      <c r="BY140" s="472"/>
      <c r="BZ140" s="470"/>
      <c r="CA140" s="471"/>
      <c r="CB140" s="471"/>
      <c r="CC140" s="470"/>
      <c r="CD140" s="471"/>
      <c r="CE140" s="472"/>
      <c r="CF140" s="470"/>
      <c r="CG140" s="471"/>
      <c r="CH140" s="471"/>
      <c r="CI140" s="470"/>
      <c r="CJ140" s="471"/>
      <c r="CK140" s="472"/>
    </row>
    <row r="141" spans="5:89" x14ac:dyDescent="0.2">
      <c r="F141" s="297">
        <v>48</v>
      </c>
      <c r="G141" s="109">
        <v>17</v>
      </c>
      <c r="H141" s="2">
        <v>-81</v>
      </c>
      <c r="I141" s="470"/>
      <c r="J141" s="471"/>
      <c r="K141" s="471"/>
      <c r="L141" s="470"/>
      <c r="M141" s="471"/>
      <c r="N141" s="471"/>
      <c r="O141" s="470"/>
      <c r="P141" s="471"/>
      <c r="Q141" s="472"/>
      <c r="R141" s="52"/>
      <c r="S141" s="31"/>
      <c r="T141" s="31"/>
      <c r="U141" s="470"/>
      <c r="V141" s="471"/>
      <c r="W141" s="471"/>
      <c r="X141" s="470"/>
      <c r="Y141" s="471"/>
      <c r="Z141" s="471"/>
      <c r="AA141" s="470"/>
      <c r="AB141" s="471"/>
      <c r="AC141" s="472"/>
      <c r="AD141" s="52"/>
      <c r="AE141" s="2"/>
      <c r="AF141" s="10"/>
      <c r="AG141" s="2"/>
      <c r="AH141" s="2"/>
      <c r="AI141" s="53"/>
      <c r="AJ141" s="470"/>
      <c r="AK141" s="471"/>
      <c r="AL141" s="471"/>
      <c r="AM141" s="470"/>
      <c r="AN141" s="471"/>
      <c r="AO141" s="472"/>
      <c r="AP141" s="52"/>
      <c r="AQ141" s="2"/>
      <c r="AR141" s="10"/>
      <c r="AS141" s="2"/>
      <c r="AT141" s="2"/>
      <c r="AU141" s="53"/>
      <c r="AV141" s="470"/>
      <c r="AW141" s="471"/>
      <c r="AX141" s="471"/>
      <c r="AY141" s="470"/>
      <c r="AZ141" s="471"/>
      <c r="BA141" s="472"/>
      <c r="BB141" s="52"/>
      <c r="BC141" s="31"/>
      <c r="BD141" s="31"/>
      <c r="BE141" s="39"/>
      <c r="BF141" s="2"/>
      <c r="BG141" s="53"/>
      <c r="BH141" s="470"/>
      <c r="BI141" s="471"/>
      <c r="BJ141" s="471"/>
      <c r="BK141" s="470"/>
      <c r="BL141" s="471"/>
      <c r="BM141" s="472"/>
      <c r="BN141" s="52"/>
      <c r="BO141" s="2"/>
      <c r="BP141" s="10"/>
      <c r="BQ141" s="2"/>
      <c r="BR141" s="2"/>
      <c r="BS141" s="53"/>
      <c r="BT141" s="470"/>
      <c r="BU141" s="471"/>
      <c r="BV141" s="471"/>
      <c r="BW141" s="470"/>
      <c r="BX141" s="471"/>
      <c r="BY141" s="472"/>
      <c r="BZ141" s="470"/>
      <c r="CA141" s="471"/>
      <c r="CB141" s="471"/>
      <c r="CC141" s="470"/>
      <c r="CD141" s="471"/>
      <c r="CE141" s="472"/>
      <c r="CF141" s="470"/>
      <c r="CG141" s="471"/>
      <c r="CH141" s="471"/>
      <c r="CI141" s="470"/>
      <c r="CJ141" s="471"/>
      <c r="CK141" s="472"/>
    </row>
    <row r="142" spans="5:89" ht="10.5" thickBot="1" x14ac:dyDescent="0.25">
      <c r="F142" s="298">
        <v>54</v>
      </c>
      <c r="G142" s="299">
        <v>16</v>
      </c>
      <c r="H142" s="55">
        <v>-79</v>
      </c>
      <c r="I142" s="473"/>
      <c r="J142" s="474"/>
      <c r="K142" s="474"/>
      <c r="L142" s="473"/>
      <c r="M142" s="474"/>
      <c r="N142" s="474"/>
      <c r="O142" s="473"/>
      <c r="P142" s="474"/>
      <c r="Q142" s="475"/>
      <c r="R142" s="54"/>
      <c r="S142" s="303"/>
      <c r="T142" s="303"/>
      <c r="U142" s="473"/>
      <c r="V142" s="474"/>
      <c r="W142" s="474"/>
      <c r="X142" s="473"/>
      <c r="Y142" s="474"/>
      <c r="Z142" s="474"/>
      <c r="AA142" s="473"/>
      <c r="AB142" s="474"/>
      <c r="AC142" s="475"/>
      <c r="AD142" s="54"/>
      <c r="AE142" s="55"/>
      <c r="AF142" s="309"/>
      <c r="AG142" s="55"/>
      <c r="AH142" s="55"/>
      <c r="AI142" s="56"/>
      <c r="AJ142" s="473"/>
      <c r="AK142" s="474"/>
      <c r="AL142" s="474"/>
      <c r="AM142" s="473"/>
      <c r="AN142" s="474"/>
      <c r="AO142" s="475"/>
      <c r="AP142" s="54"/>
      <c r="AQ142" s="55"/>
      <c r="AR142" s="309"/>
      <c r="AS142" s="55"/>
      <c r="AT142" s="55"/>
      <c r="AU142" s="56"/>
      <c r="AV142" s="473"/>
      <c r="AW142" s="474"/>
      <c r="AX142" s="474"/>
      <c r="AY142" s="473"/>
      <c r="AZ142" s="474"/>
      <c r="BA142" s="475"/>
      <c r="BB142" s="54"/>
      <c r="BC142" s="303"/>
      <c r="BD142" s="303"/>
      <c r="BE142" s="304"/>
      <c r="BF142" s="55"/>
      <c r="BG142" s="56"/>
      <c r="BH142" s="473"/>
      <c r="BI142" s="474"/>
      <c r="BJ142" s="474"/>
      <c r="BK142" s="473"/>
      <c r="BL142" s="474"/>
      <c r="BM142" s="475"/>
      <c r="BN142" s="54"/>
      <c r="BO142" s="55"/>
      <c r="BP142" s="309"/>
      <c r="BQ142" s="55"/>
      <c r="BR142" s="55"/>
      <c r="BS142" s="56"/>
      <c r="BT142" s="473"/>
      <c r="BU142" s="474"/>
      <c r="BV142" s="474"/>
      <c r="BW142" s="473"/>
      <c r="BX142" s="474"/>
      <c r="BY142" s="475"/>
      <c r="BZ142" s="473"/>
      <c r="CA142" s="474"/>
      <c r="CB142" s="474"/>
      <c r="CC142" s="473"/>
      <c r="CD142" s="474"/>
      <c r="CE142" s="475"/>
      <c r="CF142" s="473"/>
      <c r="CG142" s="474"/>
      <c r="CH142" s="474"/>
      <c r="CI142" s="473"/>
      <c r="CJ142" s="474"/>
      <c r="CK142" s="475"/>
    </row>
    <row r="144" spans="5:89" ht="10.5" x14ac:dyDescent="0.25">
      <c r="F144" s="26" t="s">
        <v>0</v>
      </c>
      <c r="G144" s="26"/>
      <c r="H144" s="26"/>
      <c r="I144" s="26"/>
      <c r="J144" s="26"/>
      <c r="K144" s="26"/>
      <c r="L144" s="26"/>
      <c r="M144" s="26"/>
      <c r="N144" s="26"/>
      <c r="O144" s="26"/>
      <c r="P144" s="26"/>
      <c r="Q144" s="26"/>
      <c r="R144" s="26" t="s">
        <v>1</v>
      </c>
      <c r="S144" s="25"/>
      <c r="T144" s="25"/>
      <c r="U144" s="25"/>
      <c r="AD144" s="852" t="s">
        <v>410</v>
      </c>
      <c r="AE144" s="852"/>
      <c r="AF144" s="852"/>
      <c r="AG144" s="852"/>
      <c r="AP144" s="852" t="s">
        <v>411</v>
      </c>
      <c r="AQ144" s="852"/>
      <c r="AR144" s="852"/>
      <c r="AS144" s="852"/>
      <c r="BB144" s="44" t="s">
        <v>223</v>
      </c>
      <c r="BN144" s="44" t="s">
        <v>351</v>
      </c>
      <c r="BZ144" s="44" t="s">
        <v>515</v>
      </c>
      <c r="CF144" s="2"/>
      <c r="CG144" s="2"/>
      <c r="CH144" s="2"/>
      <c r="CI144" s="2"/>
      <c r="CJ144" s="2"/>
      <c r="CK144" s="2"/>
    </row>
    <row r="145" spans="5:89" ht="11" thickBot="1" x14ac:dyDescent="0.3">
      <c r="F145" s="26" t="s">
        <v>113</v>
      </c>
      <c r="G145" s="26" t="s">
        <v>108</v>
      </c>
      <c r="H145" s="26" t="s">
        <v>109</v>
      </c>
      <c r="I145" s="26" t="s">
        <v>110</v>
      </c>
      <c r="J145" s="26" t="s">
        <v>111</v>
      </c>
      <c r="K145" s="26" t="s">
        <v>112</v>
      </c>
      <c r="L145" s="26"/>
      <c r="M145" s="26"/>
      <c r="N145" s="26"/>
      <c r="O145" s="26"/>
      <c r="P145" s="26"/>
      <c r="Q145" s="26"/>
      <c r="R145" s="26" t="s">
        <v>113</v>
      </c>
      <c r="S145" s="159" t="s">
        <v>108</v>
      </c>
      <c r="T145" s="159" t="s">
        <v>109</v>
      </c>
      <c r="U145" s="26" t="s">
        <v>110</v>
      </c>
      <c r="V145" s="26" t="s">
        <v>111</v>
      </c>
      <c r="W145" s="26" t="s">
        <v>112</v>
      </c>
      <c r="X145" s="26"/>
      <c r="Y145" s="26"/>
      <c r="Z145" s="26"/>
      <c r="AA145" s="26"/>
      <c r="AB145" s="26"/>
      <c r="AC145" s="26"/>
      <c r="AD145" s="159" t="s">
        <v>88</v>
      </c>
      <c r="AE145" s="159" t="s">
        <v>83</v>
      </c>
      <c r="AF145" s="159" t="s">
        <v>84</v>
      </c>
      <c r="AG145" s="159" t="s">
        <v>87</v>
      </c>
      <c r="AH145" s="159" t="s">
        <v>85</v>
      </c>
      <c r="AI145" s="159" t="s">
        <v>86</v>
      </c>
      <c r="AJ145" s="26"/>
      <c r="AK145" s="26"/>
      <c r="AL145" s="26"/>
      <c r="AM145" s="26"/>
      <c r="AN145" s="26"/>
      <c r="AO145" s="26"/>
      <c r="AP145" s="159" t="s">
        <v>88</v>
      </c>
      <c r="AQ145" s="159" t="s">
        <v>83</v>
      </c>
      <c r="AR145" s="159" t="s">
        <v>84</v>
      </c>
      <c r="AS145" s="159" t="s">
        <v>87</v>
      </c>
      <c r="AT145" s="159" t="s">
        <v>85</v>
      </c>
      <c r="AU145" s="159" t="s">
        <v>86</v>
      </c>
      <c r="AV145" s="26"/>
      <c r="AW145" s="26"/>
      <c r="AX145" s="26"/>
      <c r="AY145" s="26"/>
      <c r="AZ145" s="26"/>
      <c r="BA145" s="26"/>
      <c r="BB145" s="102" t="s">
        <v>88</v>
      </c>
      <c r="BC145" s="102" t="s">
        <v>83</v>
      </c>
      <c r="BD145" s="102" t="s">
        <v>84</v>
      </c>
      <c r="BE145" s="102" t="s">
        <v>87</v>
      </c>
      <c r="BF145" s="102" t="s">
        <v>85</v>
      </c>
      <c r="BG145" s="102" t="s">
        <v>86</v>
      </c>
      <c r="BH145" s="26"/>
      <c r="BI145" s="26"/>
      <c r="BJ145" s="26"/>
      <c r="BK145" s="26"/>
      <c r="BL145" s="26"/>
      <c r="BM145" s="26"/>
      <c r="BN145" s="102" t="s">
        <v>88</v>
      </c>
      <c r="BO145" s="102" t="s">
        <v>83</v>
      </c>
      <c r="BP145" s="102" t="s">
        <v>84</v>
      </c>
      <c r="BQ145" s="102" t="s">
        <v>87</v>
      </c>
      <c r="BR145" s="102" t="s">
        <v>85</v>
      </c>
      <c r="BS145" s="102" t="s">
        <v>86</v>
      </c>
      <c r="BT145" s="26"/>
      <c r="BU145" s="26"/>
      <c r="BV145" s="26"/>
      <c r="BW145" s="26"/>
      <c r="BX145" s="26"/>
      <c r="BY145" s="26"/>
      <c r="BZ145" s="102" t="s">
        <v>88</v>
      </c>
      <c r="CA145" s="102" t="s">
        <v>83</v>
      </c>
      <c r="CB145" s="102" t="s">
        <v>84</v>
      </c>
      <c r="CC145" s="102" t="s">
        <v>87</v>
      </c>
      <c r="CD145" s="102" t="s">
        <v>85</v>
      </c>
      <c r="CE145" s="102" t="s">
        <v>86</v>
      </c>
      <c r="CF145" s="102" t="s">
        <v>512</v>
      </c>
      <c r="CG145" s="102" t="s">
        <v>514</v>
      </c>
      <c r="CH145" s="102" t="s">
        <v>513</v>
      </c>
      <c r="CI145" s="102" t="s">
        <v>516</v>
      </c>
      <c r="CJ145" s="102" t="s">
        <v>517</v>
      </c>
      <c r="CK145" s="102" t="s">
        <v>518</v>
      </c>
    </row>
    <row r="146" spans="5:89" x14ac:dyDescent="0.2">
      <c r="E146" s="1" t="s">
        <v>407</v>
      </c>
      <c r="F146" s="293">
        <v>1</v>
      </c>
      <c r="G146" s="306">
        <v>18</v>
      </c>
      <c r="H146" s="50">
        <v>-94</v>
      </c>
      <c r="I146" s="467"/>
      <c r="J146" s="468"/>
      <c r="K146" s="468"/>
      <c r="L146" s="467"/>
      <c r="M146" s="468"/>
      <c r="N146" s="468"/>
      <c r="O146" s="467"/>
      <c r="P146" s="468"/>
      <c r="Q146" s="469"/>
      <c r="R146" s="293">
        <v>6</v>
      </c>
      <c r="S146" s="306">
        <v>17</v>
      </c>
      <c r="T146" s="301">
        <v>-94</v>
      </c>
      <c r="U146" s="467"/>
      <c r="V146" s="468"/>
      <c r="W146" s="468"/>
      <c r="X146" s="467"/>
      <c r="Y146" s="468"/>
      <c r="Z146" s="468"/>
      <c r="AA146" s="467"/>
      <c r="AB146" s="468"/>
      <c r="AC146" s="469"/>
      <c r="AD146" s="414">
        <v>7.2</v>
      </c>
      <c r="AE146" s="50">
        <v>19</v>
      </c>
      <c r="AF146" s="305">
        <v>-94</v>
      </c>
      <c r="AG146" s="96">
        <v>15</v>
      </c>
      <c r="AH146" s="50">
        <v>17</v>
      </c>
      <c r="AI146" s="307">
        <v>-89</v>
      </c>
      <c r="AJ146" s="467"/>
      <c r="AK146" s="468"/>
      <c r="AL146" s="468"/>
      <c r="AM146" s="467"/>
      <c r="AN146" s="468"/>
      <c r="AO146" s="469"/>
      <c r="AP146" s="414">
        <v>7.2</v>
      </c>
      <c r="AQ146" s="50">
        <v>17</v>
      </c>
      <c r="AR146" s="305">
        <v>-93</v>
      </c>
      <c r="AS146" s="306">
        <v>15</v>
      </c>
      <c r="AT146" s="50">
        <v>16</v>
      </c>
      <c r="AU146" s="307">
        <v>-90</v>
      </c>
      <c r="AV146" s="467"/>
      <c r="AW146" s="468"/>
      <c r="AX146" s="468"/>
      <c r="AY146" s="467"/>
      <c r="AZ146" s="468"/>
      <c r="BA146" s="469"/>
      <c r="BB146" s="293">
        <v>6</v>
      </c>
      <c r="BC146" s="306">
        <v>16</v>
      </c>
      <c r="BD146" s="312">
        <v>-93</v>
      </c>
      <c r="BE146" s="302">
        <v>12</v>
      </c>
      <c r="BF146" s="306"/>
      <c r="BG146" s="307"/>
      <c r="BH146" s="467"/>
      <c r="BI146" s="468"/>
      <c r="BJ146" s="468"/>
      <c r="BK146" s="467"/>
      <c r="BL146" s="468"/>
      <c r="BM146" s="469"/>
      <c r="BN146" s="414">
        <v>7.2</v>
      </c>
      <c r="BO146" s="50">
        <v>14</v>
      </c>
      <c r="BP146" s="402">
        <v>-93</v>
      </c>
      <c r="BQ146" s="306">
        <v>15</v>
      </c>
      <c r="BR146" s="50">
        <v>12</v>
      </c>
      <c r="BS146" s="400">
        <v>-90</v>
      </c>
      <c r="BT146" s="467"/>
      <c r="BU146" s="468"/>
      <c r="BV146" s="468"/>
      <c r="BW146" s="467"/>
      <c r="BX146" s="468"/>
      <c r="BY146" s="469"/>
      <c r="BZ146" s="467"/>
      <c r="CA146" s="468"/>
      <c r="CB146" s="468"/>
      <c r="CC146" s="467"/>
      <c r="CD146" s="468"/>
      <c r="CE146" s="469"/>
      <c r="CF146" s="467"/>
      <c r="CG146" s="468"/>
      <c r="CH146" s="468"/>
      <c r="CI146" s="467"/>
      <c r="CJ146" s="468"/>
      <c r="CK146" s="469"/>
    </row>
    <row r="147" spans="5:89" x14ac:dyDescent="0.2">
      <c r="E147" s="234" t="s">
        <v>409</v>
      </c>
      <c r="F147" s="296">
        <v>5.5</v>
      </c>
      <c r="G147" s="24">
        <v>18</v>
      </c>
      <c r="H147" s="2">
        <v>-91</v>
      </c>
      <c r="I147" s="470"/>
      <c r="J147" s="471"/>
      <c r="K147" s="471"/>
      <c r="L147" s="470"/>
      <c r="M147" s="471"/>
      <c r="N147" s="471"/>
      <c r="O147" s="470"/>
      <c r="P147" s="471"/>
      <c r="Q147" s="472"/>
      <c r="R147" s="297">
        <v>9</v>
      </c>
      <c r="S147" s="24">
        <v>17</v>
      </c>
      <c r="T147" s="31">
        <v>-93</v>
      </c>
      <c r="U147" s="470"/>
      <c r="V147" s="471"/>
      <c r="W147" s="471"/>
      <c r="X147" s="470"/>
      <c r="Y147" s="471"/>
      <c r="Z147" s="471"/>
      <c r="AA147" s="470"/>
      <c r="AB147" s="471"/>
      <c r="AC147" s="472"/>
      <c r="AD147" s="39">
        <v>14.4</v>
      </c>
      <c r="AE147" s="2">
        <v>19</v>
      </c>
      <c r="AF147" s="95">
        <v>-93</v>
      </c>
      <c r="AG147" s="24">
        <v>30</v>
      </c>
      <c r="AH147" s="2">
        <v>17</v>
      </c>
      <c r="AI147" s="308">
        <v>-88</v>
      </c>
      <c r="AJ147" s="470"/>
      <c r="AK147" s="471"/>
      <c r="AL147" s="471"/>
      <c r="AM147" s="470"/>
      <c r="AN147" s="471"/>
      <c r="AO147" s="472"/>
      <c r="AP147" s="39">
        <v>14.4</v>
      </c>
      <c r="AQ147" s="2">
        <v>17</v>
      </c>
      <c r="AR147" s="95">
        <v>-91</v>
      </c>
      <c r="AS147" s="24">
        <v>30</v>
      </c>
      <c r="AT147" s="2">
        <v>16</v>
      </c>
      <c r="AU147" s="308">
        <v>-88</v>
      </c>
      <c r="AV147" s="470"/>
      <c r="AW147" s="471"/>
      <c r="AX147" s="471"/>
      <c r="AY147" s="470"/>
      <c r="AZ147" s="471"/>
      <c r="BA147" s="472"/>
      <c r="BB147" s="297">
        <v>9</v>
      </c>
      <c r="BC147" s="24">
        <v>16</v>
      </c>
      <c r="BD147" s="47">
        <v>-91</v>
      </c>
      <c r="BE147" s="30">
        <v>18</v>
      </c>
      <c r="BF147" s="24"/>
      <c r="BG147" s="308"/>
      <c r="BH147" s="470"/>
      <c r="BI147" s="471"/>
      <c r="BJ147" s="471"/>
      <c r="BK147" s="470"/>
      <c r="BL147" s="471"/>
      <c r="BM147" s="472"/>
      <c r="BN147" s="39">
        <v>14.4</v>
      </c>
      <c r="BO147" s="2">
        <v>14</v>
      </c>
      <c r="BP147" s="46">
        <v>-91</v>
      </c>
      <c r="BQ147" s="24">
        <v>30</v>
      </c>
      <c r="BR147" s="2">
        <v>12</v>
      </c>
      <c r="BS147" s="401">
        <v>-88</v>
      </c>
      <c r="BT147" s="470"/>
      <c r="BU147" s="471"/>
      <c r="BV147" s="471"/>
      <c r="BW147" s="470"/>
      <c r="BX147" s="471"/>
      <c r="BY147" s="472"/>
      <c r="BZ147" s="470"/>
      <c r="CA147" s="471"/>
      <c r="CB147" s="471"/>
      <c r="CC147" s="470"/>
      <c r="CD147" s="471"/>
      <c r="CE147" s="472"/>
      <c r="CF147" s="470"/>
      <c r="CG147" s="471"/>
      <c r="CH147" s="471"/>
      <c r="CI147" s="470"/>
      <c r="CJ147" s="471"/>
      <c r="CK147" s="472"/>
    </row>
    <row r="148" spans="5:89" x14ac:dyDescent="0.2">
      <c r="F148" s="297">
        <v>6</v>
      </c>
      <c r="G148" s="24">
        <v>19</v>
      </c>
      <c r="H148" s="2">
        <v>-94</v>
      </c>
      <c r="I148" s="470"/>
      <c r="J148" s="471"/>
      <c r="K148" s="471"/>
      <c r="L148" s="470"/>
      <c r="M148" s="471"/>
      <c r="N148" s="471"/>
      <c r="O148" s="470"/>
      <c r="P148" s="471"/>
      <c r="Q148" s="472"/>
      <c r="R148" s="297">
        <v>12</v>
      </c>
      <c r="S148" s="24">
        <v>17</v>
      </c>
      <c r="T148" s="31">
        <v>-91</v>
      </c>
      <c r="U148" s="470"/>
      <c r="V148" s="471"/>
      <c r="W148" s="471"/>
      <c r="X148" s="470"/>
      <c r="Y148" s="471"/>
      <c r="Z148" s="471"/>
      <c r="AA148" s="470"/>
      <c r="AB148" s="471"/>
      <c r="AC148" s="472"/>
      <c r="AD148" s="39">
        <v>21.7</v>
      </c>
      <c r="AE148" s="2">
        <v>18</v>
      </c>
      <c r="AF148" s="95">
        <v>-91</v>
      </c>
      <c r="AG148" s="24">
        <v>45</v>
      </c>
      <c r="AH148" s="2">
        <v>17</v>
      </c>
      <c r="AI148" s="308">
        <v>-86</v>
      </c>
      <c r="AJ148" s="470"/>
      <c r="AK148" s="471"/>
      <c r="AL148" s="471"/>
      <c r="AM148" s="470"/>
      <c r="AN148" s="471"/>
      <c r="AO148" s="472"/>
      <c r="AP148" s="39">
        <v>21.7</v>
      </c>
      <c r="AQ148" s="2">
        <v>17</v>
      </c>
      <c r="AR148" s="95">
        <v>-88</v>
      </c>
      <c r="AS148" s="24">
        <v>45</v>
      </c>
      <c r="AT148" s="2">
        <v>16</v>
      </c>
      <c r="AU148" s="308">
        <v>-86</v>
      </c>
      <c r="AV148" s="470"/>
      <c r="AW148" s="471"/>
      <c r="AX148" s="471"/>
      <c r="AY148" s="470"/>
      <c r="AZ148" s="471"/>
      <c r="BA148" s="472"/>
      <c r="BB148" s="297">
        <v>12</v>
      </c>
      <c r="BC148" s="24">
        <v>16</v>
      </c>
      <c r="BD148" s="47">
        <v>-88</v>
      </c>
      <c r="BE148" s="30">
        <v>24</v>
      </c>
      <c r="BF148" s="24"/>
      <c r="BG148" s="308"/>
      <c r="BH148" s="470"/>
      <c r="BI148" s="471"/>
      <c r="BJ148" s="471"/>
      <c r="BK148" s="470"/>
      <c r="BL148" s="471"/>
      <c r="BM148" s="472"/>
      <c r="BN148" s="39">
        <v>21.7</v>
      </c>
      <c r="BO148" s="2">
        <v>14</v>
      </c>
      <c r="BP148" s="46">
        <v>-88</v>
      </c>
      <c r="BQ148" s="24">
        <v>45</v>
      </c>
      <c r="BR148" s="2">
        <v>12</v>
      </c>
      <c r="BS148" s="401">
        <v>-86</v>
      </c>
      <c r="BT148" s="470"/>
      <c r="BU148" s="471"/>
      <c r="BV148" s="471"/>
      <c r="BW148" s="470"/>
      <c r="BX148" s="471"/>
      <c r="BY148" s="472"/>
      <c r="BZ148" s="470"/>
      <c r="CA148" s="471"/>
      <c r="CB148" s="471"/>
      <c r="CC148" s="470"/>
      <c r="CD148" s="471"/>
      <c r="CE148" s="472"/>
      <c r="CF148" s="470"/>
      <c r="CG148" s="471"/>
      <c r="CH148" s="471"/>
      <c r="CI148" s="470"/>
      <c r="CJ148" s="471"/>
      <c r="CK148" s="472"/>
    </row>
    <row r="149" spans="5:89" x14ac:dyDescent="0.2">
      <c r="F149" s="297">
        <v>9</v>
      </c>
      <c r="G149" s="24">
        <v>19</v>
      </c>
      <c r="H149" s="2">
        <v>-93</v>
      </c>
      <c r="I149" s="470"/>
      <c r="J149" s="471"/>
      <c r="K149" s="471"/>
      <c r="L149" s="470"/>
      <c r="M149" s="471"/>
      <c r="N149" s="471"/>
      <c r="O149" s="470"/>
      <c r="P149" s="471"/>
      <c r="Q149" s="472"/>
      <c r="R149" s="297">
        <v>18</v>
      </c>
      <c r="S149" s="24">
        <v>17</v>
      </c>
      <c r="T149" s="31">
        <v>-89</v>
      </c>
      <c r="U149" s="470"/>
      <c r="V149" s="471"/>
      <c r="W149" s="471"/>
      <c r="X149" s="470"/>
      <c r="Y149" s="471"/>
      <c r="Z149" s="471"/>
      <c r="AA149" s="470"/>
      <c r="AB149" s="471"/>
      <c r="AC149" s="472"/>
      <c r="AD149" s="39">
        <v>28.9</v>
      </c>
      <c r="AE149" s="2">
        <v>18</v>
      </c>
      <c r="AF149" s="95">
        <v>-87</v>
      </c>
      <c r="AG149" s="24">
        <v>60</v>
      </c>
      <c r="AH149" s="2">
        <v>17</v>
      </c>
      <c r="AI149" s="308">
        <v>-83</v>
      </c>
      <c r="AJ149" s="470"/>
      <c r="AK149" s="471"/>
      <c r="AL149" s="471"/>
      <c r="AM149" s="470"/>
      <c r="AN149" s="471"/>
      <c r="AO149" s="472"/>
      <c r="AP149" s="39">
        <v>28.9</v>
      </c>
      <c r="AQ149" s="2">
        <v>17</v>
      </c>
      <c r="AR149" s="95">
        <v>-84</v>
      </c>
      <c r="AS149" s="24">
        <v>60</v>
      </c>
      <c r="AT149" s="2">
        <v>16</v>
      </c>
      <c r="AU149" s="308">
        <v>-83</v>
      </c>
      <c r="AV149" s="470"/>
      <c r="AW149" s="471"/>
      <c r="AX149" s="471"/>
      <c r="AY149" s="470"/>
      <c r="AZ149" s="471"/>
      <c r="BA149" s="472"/>
      <c r="BB149" s="297">
        <v>18</v>
      </c>
      <c r="BC149" s="24">
        <v>16</v>
      </c>
      <c r="BD149" s="47">
        <v>-84</v>
      </c>
      <c r="BE149" s="30">
        <v>36</v>
      </c>
      <c r="BF149" s="24"/>
      <c r="BG149" s="308"/>
      <c r="BH149" s="470"/>
      <c r="BI149" s="471"/>
      <c r="BJ149" s="471"/>
      <c r="BK149" s="470"/>
      <c r="BL149" s="471"/>
      <c r="BM149" s="472"/>
      <c r="BN149" s="39">
        <v>28.9</v>
      </c>
      <c r="BO149" s="2">
        <v>14</v>
      </c>
      <c r="BP149" s="46">
        <v>-84</v>
      </c>
      <c r="BQ149" s="24">
        <v>60</v>
      </c>
      <c r="BR149" s="2">
        <v>12</v>
      </c>
      <c r="BS149" s="401">
        <v>-83</v>
      </c>
      <c r="BT149" s="470"/>
      <c r="BU149" s="471"/>
      <c r="BV149" s="471"/>
      <c r="BW149" s="470"/>
      <c r="BX149" s="471"/>
      <c r="BY149" s="472"/>
      <c r="BZ149" s="470"/>
      <c r="CA149" s="471"/>
      <c r="CB149" s="471"/>
      <c r="CC149" s="470"/>
      <c r="CD149" s="471"/>
      <c r="CE149" s="472"/>
      <c r="CF149" s="470"/>
      <c r="CG149" s="471"/>
      <c r="CH149" s="471"/>
      <c r="CI149" s="470"/>
      <c r="CJ149" s="471"/>
      <c r="CK149" s="472"/>
    </row>
    <row r="150" spans="5:89" x14ac:dyDescent="0.2">
      <c r="F150" s="297">
        <v>11</v>
      </c>
      <c r="G150" s="24">
        <v>19</v>
      </c>
      <c r="H150" s="2">
        <v>-91</v>
      </c>
      <c r="I150" s="470"/>
      <c r="J150" s="471"/>
      <c r="K150" s="471"/>
      <c r="L150" s="470"/>
      <c r="M150" s="471"/>
      <c r="N150" s="471"/>
      <c r="O150" s="470"/>
      <c r="P150" s="471"/>
      <c r="Q150" s="472"/>
      <c r="R150" s="297">
        <v>24</v>
      </c>
      <c r="S150" s="24">
        <v>17</v>
      </c>
      <c r="T150" s="31">
        <v>-85</v>
      </c>
      <c r="U150" s="470"/>
      <c r="V150" s="471"/>
      <c r="W150" s="471"/>
      <c r="X150" s="470"/>
      <c r="Y150" s="471"/>
      <c r="Z150" s="471"/>
      <c r="AA150" s="470"/>
      <c r="AB150" s="471"/>
      <c r="AC150" s="472"/>
      <c r="AD150" s="39">
        <v>43.3</v>
      </c>
      <c r="AE150" s="2">
        <v>17</v>
      </c>
      <c r="AF150" s="95">
        <v>-84</v>
      </c>
      <c r="AG150" s="24">
        <v>90</v>
      </c>
      <c r="AH150" s="2">
        <v>17</v>
      </c>
      <c r="AI150" s="308">
        <v>-80</v>
      </c>
      <c r="AJ150" s="470"/>
      <c r="AK150" s="471"/>
      <c r="AL150" s="471"/>
      <c r="AM150" s="470"/>
      <c r="AN150" s="471"/>
      <c r="AO150" s="472"/>
      <c r="AP150" s="39">
        <v>43.3</v>
      </c>
      <c r="AQ150" s="2">
        <v>17</v>
      </c>
      <c r="AR150" s="95">
        <v>-81</v>
      </c>
      <c r="AS150" s="24">
        <v>90</v>
      </c>
      <c r="AT150" s="2">
        <v>16</v>
      </c>
      <c r="AU150" s="308">
        <v>-80</v>
      </c>
      <c r="AV150" s="470"/>
      <c r="AW150" s="471"/>
      <c r="AX150" s="471"/>
      <c r="AY150" s="470"/>
      <c r="AZ150" s="471"/>
      <c r="BA150" s="472"/>
      <c r="BB150" s="297">
        <v>24</v>
      </c>
      <c r="BC150" s="24">
        <v>16</v>
      </c>
      <c r="BD150" s="47">
        <v>-81</v>
      </c>
      <c r="BE150" s="30">
        <v>48</v>
      </c>
      <c r="BF150" s="24"/>
      <c r="BG150" s="308"/>
      <c r="BH150" s="470"/>
      <c r="BI150" s="471"/>
      <c r="BJ150" s="471"/>
      <c r="BK150" s="470"/>
      <c r="BL150" s="471"/>
      <c r="BM150" s="472"/>
      <c r="BN150" s="39">
        <v>43.3</v>
      </c>
      <c r="BO150" s="2">
        <v>14</v>
      </c>
      <c r="BP150" s="46">
        <v>-81</v>
      </c>
      <c r="BQ150" s="24">
        <v>90</v>
      </c>
      <c r="BR150" s="2">
        <v>12</v>
      </c>
      <c r="BS150" s="401">
        <v>-80</v>
      </c>
      <c r="BT150" s="470"/>
      <c r="BU150" s="471"/>
      <c r="BV150" s="471"/>
      <c r="BW150" s="470"/>
      <c r="BX150" s="471"/>
      <c r="BY150" s="472"/>
      <c r="BZ150" s="470"/>
      <c r="CA150" s="471"/>
      <c r="CB150" s="471"/>
      <c r="CC150" s="470"/>
      <c r="CD150" s="471"/>
      <c r="CE150" s="472"/>
      <c r="CF150" s="470"/>
      <c r="CG150" s="471"/>
      <c r="CH150" s="471"/>
      <c r="CI150" s="470"/>
      <c r="CJ150" s="471"/>
      <c r="CK150" s="472"/>
    </row>
    <row r="151" spans="5:89" x14ac:dyDescent="0.2">
      <c r="F151" s="297">
        <v>12</v>
      </c>
      <c r="G151" s="24">
        <v>19</v>
      </c>
      <c r="H151" s="2">
        <v>-93</v>
      </c>
      <c r="I151" s="470"/>
      <c r="J151" s="471"/>
      <c r="K151" s="471"/>
      <c r="L151" s="470"/>
      <c r="M151" s="471"/>
      <c r="N151" s="471"/>
      <c r="O151" s="470"/>
      <c r="P151" s="471"/>
      <c r="Q151" s="472"/>
      <c r="R151" s="297">
        <v>36</v>
      </c>
      <c r="S151" s="24">
        <v>17</v>
      </c>
      <c r="T151" s="31">
        <v>-82</v>
      </c>
      <c r="U151" s="470"/>
      <c r="V151" s="471"/>
      <c r="W151" s="471"/>
      <c r="X151" s="470"/>
      <c r="Y151" s="471"/>
      <c r="Z151" s="471"/>
      <c r="AA151" s="470"/>
      <c r="AB151" s="471"/>
      <c r="AC151" s="472"/>
      <c r="AD151" s="39">
        <v>57.8</v>
      </c>
      <c r="AE151" s="2">
        <v>17</v>
      </c>
      <c r="AF151" s="95">
        <v>-80</v>
      </c>
      <c r="AG151" s="24">
        <v>120</v>
      </c>
      <c r="AH151" s="2">
        <v>17</v>
      </c>
      <c r="AI151" s="308">
        <v>-76</v>
      </c>
      <c r="AJ151" s="470"/>
      <c r="AK151" s="471"/>
      <c r="AL151" s="471"/>
      <c r="AM151" s="470"/>
      <c r="AN151" s="471"/>
      <c r="AO151" s="472"/>
      <c r="AP151" s="39">
        <v>57.8</v>
      </c>
      <c r="AQ151" s="2">
        <v>16</v>
      </c>
      <c r="AR151" s="95">
        <v>-78</v>
      </c>
      <c r="AS151" s="24">
        <v>120</v>
      </c>
      <c r="AT151" s="2">
        <v>16</v>
      </c>
      <c r="AU151" s="308">
        <v>-76</v>
      </c>
      <c r="AV151" s="470"/>
      <c r="AW151" s="471"/>
      <c r="AX151" s="471"/>
      <c r="AY151" s="470"/>
      <c r="AZ151" s="471"/>
      <c r="BA151" s="472"/>
      <c r="BB151" s="297">
        <v>36</v>
      </c>
      <c r="BC151" s="24">
        <v>16</v>
      </c>
      <c r="BD151" s="47">
        <v>-78</v>
      </c>
      <c r="BE151" s="30">
        <v>72</v>
      </c>
      <c r="BF151" s="24"/>
      <c r="BG151" s="308"/>
      <c r="BH151" s="470"/>
      <c r="BI151" s="471"/>
      <c r="BJ151" s="471"/>
      <c r="BK151" s="470"/>
      <c r="BL151" s="471"/>
      <c r="BM151" s="472"/>
      <c r="BN151" s="39">
        <v>57.8</v>
      </c>
      <c r="BO151" s="2">
        <v>14</v>
      </c>
      <c r="BP151" s="46">
        <v>-78</v>
      </c>
      <c r="BQ151" s="24">
        <v>120</v>
      </c>
      <c r="BR151" s="2">
        <v>12</v>
      </c>
      <c r="BS151" s="401">
        <v>-76</v>
      </c>
      <c r="BT151" s="470"/>
      <c r="BU151" s="471"/>
      <c r="BV151" s="471"/>
      <c r="BW151" s="470"/>
      <c r="BX151" s="471"/>
      <c r="BY151" s="472"/>
      <c r="BZ151" s="470"/>
      <c r="CA151" s="471"/>
      <c r="CB151" s="471"/>
      <c r="CC151" s="470"/>
      <c r="CD151" s="471"/>
      <c r="CE151" s="472"/>
      <c r="CF151" s="470"/>
      <c r="CG151" s="471"/>
      <c r="CH151" s="471"/>
      <c r="CI151" s="470"/>
      <c r="CJ151" s="471"/>
      <c r="CK151" s="472"/>
    </row>
    <row r="152" spans="5:89" x14ac:dyDescent="0.2">
      <c r="F152" s="297">
        <v>18</v>
      </c>
      <c r="G152" s="24">
        <v>19</v>
      </c>
      <c r="H152" s="2">
        <v>-91</v>
      </c>
      <c r="I152" s="470"/>
      <c r="J152" s="471"/>
      <c r="K152" s="471"/>
      <c r="L152" s="470"/>
      <c r="M152" s="471"/>
      <c r="N152" s="471"/>
      <c r="O152" s="470"/>
      <c r="P152" s="471"/>
      <c r="Q152" s="472"/>
      <c r="R152" s="297">
        <v>48</v>
      </c>
      <c r="S152" s="24">
        <v>16</v>
      </c>
      <c r="T152" s="31">
        <v>-78</v>
      </c>
      <c r="U152" s="470"/>
      <c r="V152" s="471"/>
      <c r="W152" s="471"/>
      <c r="X152" s="470"/>
      <c r="Y152" s="471"/>
      <c r="Z152" s="471"/>
      <c r="AA152" s="470"/>
      <c r="AB152" s="471"/>
      <c r="AC152" s="472"/>
      <c r="AD152" s="39">
        <v>65</v>
      </c>
      <c r="AE152" s="2">
        <v>15</v>
      </c>
      <c r="AF152" s="95">
        <v>-79</v>
      </c>
      <c r="AG152" s="24">
        <v>135</v>
      </c>
      <c r="AH152" s="2">
        <v>15</v>
      </c>
      <c r="AI152" s="308">
        <v>-74</v>
      </c>
      <c r="AJ152" s="470"/>
      <c r="AK152" s="471"/>
      <c r="AL152" s="471"/>
      <c r="AM152" s="470"/>
      <c r="AN152" s="471"/>
      <c r="AO152" s="472"/>
      <c r="AP152" s="39">
        <v>65</v>
      </c>
      <c r="AQ152" s="2">
        <v>13</v>
      </c>
      <c r="AR152" s="95">
        <v>-76</v>
      </c>
      <c r="AS152" s="24">
        <v>135</v>
      </c>
      <c r="AT152" s="2">
        <v>13</v>
      </c>
      <c r="AU152" s="308">
        <v>-75</v>
      </c>
      <c r="AV152" s="470"/>
      <c r="AW152" s="471"/>
      <c r="AX152" s="471"/>
      <c r="AY152" s="470"/>
      <c r="AZ152" s="471"/>
      <c r="BA152" s="472"/>
      <c r="BB152" s="297">
        <v>48</v>
      </c>
      <c r="BC152" s="24">
        <v>13</v>
      </c>
      <c r="BD152" s="47">
        <v>-76</v>
      </c>
      <c r="BE152" s="30">
        <v>96</v>
      </c>
      <c r="BF152" s="24"/>
      <c r="BG152" s="308"/>
      <c r="BH152" s="470"/>
      <c r="BI152" s="471"/>
      <c r="BJ152" s="471"/>
      <c r="BK152" s="470"/>
      <c r="BL152" s="471"/>
      <c r="BM152" s="472"/>
      <c r="BN152" s="39">
        <v>65</v>
      </c>
      <c r="BO152" s="2">
        <v>7</v>
      </c>
      <c r="BP152" s="46">
        <v>-76</v>
      </c>
      <c r="BQ152" s="24">
        <v>135</v>
      </c>
      <c r="BR152" s="2">
        <v>7</v>
      </c>
      <c r="BS152" s="401">
        <v>-75</v>
      </c>
      <c r="BT152" s="470"/>
      <c r="BU152" s="471"/>
      <c r="BV152" s="471"/>
      <c r="BW152" s="470"/>
      <c r="BX152" s="471"/>
      <c r="BY152" s="472"/>
      <c r="BZ152" s="470"/>
      <c r="CA152" s="471"/>
      <c r="CB152" s="471"/>
      <c r="CC152" s="470"/>
      <c r="CD152" s="471"/>
      <c r="CE152" s="472"/>
      <c r="CF152" s="470"/>
      <c r="CG152" s="471"/>
      <c r="CH152" s="471"/>
      <c r="CI152" s="470"/>
      <c r="CJ152" s="471"/>
      <c r="CK152" s="472"/>
    </row>
    <row r="153" spans="5:89" x14ac:dyDescent="0.2">
      <c r="F153" s="297">
        <v>24</v>
      </c>
      <c r="G153" s="24">
        <v>19</v>
      </c>
      <c r="H153" s="2">
        <v>-88</v>
      </c>
      <c r="I153" s="470"/>
      <c r="J153" s="471"/>
      <c r="K153" s="471"/>
      <c r="L153" s="470"/>
      <c r="M153" s="471"/>
      <c r="N153" s="471"/>
      <c r="O153" s="470"/>
      <c r="P153" s="471"/>
      <c r="Q153" s="472"/>
      <c r="R153" s="297">
        <v>54</v>
      </c>
      <c r="S153" s="24">
        <v>15</v>
      </c>
      <c r="T153" s="31">
        <v>-77</v>
      </c>
      <c r="U153" s="470"/>
      <c r="V153" s="471"/>
      <c r="W153" s="471"/>
      <c r="X153" s="470"/>
      <c r="Y153" s="471"/>
      <c r="Z153" s="471"/>
      <c r="AA153" s="470"/>
      <c r="AB153" s="471"/>
      <c r="AC153" s="472"/>
      <c r="AD153" s="39">
        <v>72.2</v>
      </c>
      <c r="AE153" s="2">
        <v>13</v>
      </c>
      <c r="AF153" s="95">
        <v>-77</v>
      </c>
      <c r="AG153" s="21">
        <v>150</v>
      </c>
      <c r="AH153" s="2">
        <v>13</v>
      </c>
      <c r="AI153" s="308">
        <v>-73</v>
      </c>
      <c r="AJ153" s="470"/>
      <c r="AK153" s="471"/>
      <c r="AL153" s="471"/>
      <c r="AM153" s="470"/>
      <c r="AN153" s="471"/>
      <c r="AO153" s="472"/>
      <c r="AP153" s="39">
        <v>72.2</v>
      </c>
      <c r="AQ153" s="2">
        <v>9</v>
      </c>
      <c r="AR153" s="95">
        <v>-74</v>
      </c>
      <c r="AS153" s="21">
        <v>150</v>
      </c>
      <c r="AT153" s="2">
        <v>9</v>
      </c>
      <c r="AU153" s="308">
        <v>-72</v>
      </c>
      <c r="AV153" s="470"/>
      <c r="AW153" s="471"/>
      <c r="AX153" s="471"/>
      <c r="AY153" s="470"/>
      <c r="AZ153" s="471"/>
      <c r="BA153" s="472"/>
      <c r="BB153" s="297">
        <v>54</v>
      </c>
      <c r="BC153" s="24">
        <v>10</v>
      </c>
      <c r="BD153" s="47">
        <v>-74</v>
      </c>
      <c r="BE153" s="30">
        <v>108</v>
      </c>
      <c r="BF153" s="24"/>
      <c r="BG153" s="308"/>
      <c r="BH153" s="470"/>
      <c r="BI153" s="471"/>
      <c r="BJ153" s="471"/>
      <c r="BK153" s="470"/>
      <c r="BL153" s="471"/>
      <c r="BM153" s="472"/>
      <c r="BN153" s="39">
        <v>72.2</v>
      </c>
      <c r="BO153" s="2">
        <v>5</v>
      </c>
      <c r="BP153" s="46">
        <v>-74</v>
      </c>
      <c r="BQ153" s="21">
        <v>150</v>
      </c>
      <c r="BR153" s="2">
        <v>5</v>
      </c>
      <c r="BS153" s="401">
        <v>-72</v>
      </c>
      <c r="BT153" s="470"/>
      <c r="BU153" s="471"/>
      <c r="BV153" s="471"/>
      <c r="BW153" s="470"/>
      <c r="BX153" s="471"/>
      <c r="BY153" s="472"/>
      <c r="BZ153" s="470"/>
      <c r="CA153" s="471"/>
      <c r="CB153" s="471"/>
      <c r="CC153" s="470"/>
      <c r="CD153" s="471"/>
      <c r="CE153" s="472"/>
      <c r="CF153" s="470"/>
      <c r="CG153" s="471"/>
      <c r="CH153" s="471"/>
      <c r="CI153" s="470"/>
      <c r="CJ153" s="471"/>
      <c r="CK153" s="472"/>
    </row>
    <row r="154" spans="5:89" x14ac:dyDescent="0.2">
      <c r="F154" s="297">
        <v>36</v>
      </c>
      <c r="G154" s="24">
        <v>18</v>
      </c>
      <c r="H154" s="2">
        <v>-86</v>
      </c>
      <c r="I154" s="470"/>
      <c r="J154" s="471"/>
      <c r="K154" s="471"/>
      <c r="L154" s="470"/>
      <c r="M154" s="471"/>
      <c r="N154" s="471"/>
      <c r="O154" s="470"/>
      <c r="P154" s="471"/>
      <c r="Q154" s="472"/>
      <c r="R154" s="52"/>
      <c r="S154" s="2"/>
      <c r="T154" s="2"/>
      <c r="U154" s="470"/>
      <c r="V154" s="471"/>
      <c r="W154" s="471"/>
      <c r="X154" s="470"/>
      <c r="Y154" s="471"/>
      <c r="Z154" s="471"/>
      <c r="AA154" s="470"/>
      <c r="AB154" s="471"/>
      <c r="AC154" s="472"/>
      <c r="AD154" s="52"/>
      <c r="AE154" s="2"/>
      <c r="AF154" s="10"/>
      <c r="AG154" s="2"/>
      <c r="AH154" s="2"/>
      <c r="AI154" s="53"/>
      <c r="AJ154" s="470"/>
      <c r="AK154" s="471"/>
      <c r="AL154" s="471"/>
      <c r="AM154" s="470"/>
      <c r="AN154" s="471"/>
      <c r="AO154" s="472"/>
      <c r="AP154" s="39"/>
      <c r="AQ154" s="2"/>
      <c r="AR154" s="10"/>
      <c r="AS154" s="2"/>
      <c r="AT154" s="2"/>
      <c r="AU154" s="53"/>
      <c r="AV154" s="470"/>
      <c r="AW154" s="471"/>
      <c r="AX154" s="471"/>
      <c r="AY154" s="470"/>
      <c r="AZ154" s="471"/>
      <c r="BA154" s="472"/>
      <c r="BB154" s="52"/>
      <c r="BC154" s="2"/>
      <c r="BD154" s="2"/>
      <c r="BE154" s="39"/>
      <c r="BF154" s="24"/>
      <c r="BG154" s="53"/>
      <c r="BH154" s="470"/>
      <c r="BI154" s="471"/>
      <c r="BJ154" s="471"/>
      <c r="BK154" s="470"/>
      <c r="BL154" s="471"/>
      <c r="BM154" s="472"/>
      <c r="BN154" s="52"/>
      <c r="BO154" s="2"/>
      <c r="BP154" s="10"/>
      <c r="BQ154" s="2"/>
      <c r="BR154" s="2"/>
      <c r="BS154" s="53"/>
      <c r="BT154" s="470"/>
      <c r="BU154" s="471"/>
      <c r="BV154" s="471"/>
      <c r="BW154" s="470"/>
      <c r="BX154" s="471"/>
      <c r="BY154" s="472"/>
      <c r="BZ154" s="470"/>
      <c r="CA154" s="471"/>
      <c r="CB154" s="471"/>
      <c r="CC154" s="470"/>
      <c r="CD154" s="471"/>
      <c r="CE154" s="472"/>
      <c r="CF154" s="470"/>
      <c r="CG154" s="471"/>
      <c r="CH154" s="471"/>
      <c r="CI154" s="470"/>
      <c r="CJ154" s="471"/>
      <c r="CK154" s="472"/>
    </row>
    <row r="155" spans="5:89" x14ac:dyDescent="0.2">
      <c r="F155" s="297">
        <v>48</v>
      </c>
      <c r="G155" s="24">
        <v>18</v>
      </c>
      <c r="H155" s="2">
        <v>-81</v>
      </c>
      <c r="I155" s="470"/>
      <c r="J155" s="471"/>
      <c r="K155" s="471"/>
      <c r="L155" s="470"/>
      <c r="M155" s="471"/>
      <c r="N155" s="471"/>
      <c r="O155" s="470"/>
      <c r="P155" s="471"/>
      <c r="Q155" s="472"/>
      <c r="R155" s="52"/>
      <c r="S155" s="31"/>
      <c r="T155" s="31"/>
      <c r="U155" s="470"/>
      <c r="V155" s="471"/>
      <c r="W155" s="471"/>
      <c r="X155" s="470"/>
      <c r="Y155" s="471"/>
      <c r="Z155" s="471"/>
      <c r="AA155" s="470"/>
      <c r="AB155" s="471"/>
      <c r="AC155" s="472"/>
      <c r="AD155" s="52"/>
      <c r="AE155" s="2"/>
      <c r="AF155" s="10"/>
      <c r="AG155" s="2"/>
      <c r="AH155" s="2"/>
      <c r="AI155" s="53"/>
      <c r="AJ155" s="470"/>
      <c r="AK155" s="471"/>
      <c r="AL155" s="471"/>
      <c r="AM155" s="470"/>
      <c r="AN155" s="471"/>
      <c r="AO155" s="472"/>
      <c r="AP155" s="52"/>
      <c r="AQ155" s="2"/>
      <c r="AR155" s="10"/>
      <c r="AS155" s="2"/>
      <c r="AT155" s="2"/>
      <c r="AU155" s="53"/>
      <c r="AV155" s="470"/>
      <c r="AW155" s="471"/>
      <c r="AX155" s="471"/>
      <c r="AY155" s="470"/>
      <c r="AZ155" s="471"/>
      <c r="BA155" s="472"/>
      <c r="BB155" s="52"/>
      <c r="BC155" s="31"/>
      <c r="BD155" s="31"/>
      <c r="BE155" s="39"/>
      <c r="BF155" s="2"/>
      <c r="BG155" s="53"/>
      <c r="BH155" s="470"/>
      <c r="BI155" s="471"/>
      <c r="BJ155" s="471"/>
      <c r="BK155" s="470"/>
      <c r="BL155" s="471"/>
      <c r="BM155" s="472"/>
      <c r="BN155" s="52"/>
      <c r="BO155" s="2"/>
      <c r="BP155" s="10"/>
      <c r="BQ155" s="2"/>
      <c r="BR155" s="2"/>
      <c r="BS155" s="53"/>
      <c r="BT155" s="470"/>
      <c r="BU155" s="471"/>
      <c r="BV155" s="471"/>
      <c r="BW155" s="470"/>
      <c r="BX155" s="471"/>
      <c r="BY155" s="472"/>
      <c r="BZ155" s="470"/>
      <c r="CA155" s="471"/>
      <c r="CB155" s="471"/>
      <c r="CC155" s="470"/>
      <c r="CD155" s="471"/>
      <c r="CE155" s="472"/>
      <c r="CF155" s="470"/>
      <c r="CG155" s="471"/>
      <c r="CH155" s="471"/>
      <c r="CI155" s="470"/>
      <c r="CJ155" s="471"/>
      <c r="CK155" s="472"/>
    </row>
    <row r="156" spans="5:89" ht="10.5" thickBot="1" x14ac:dyDescent="0.25">
      <c r="F156" s="298">
        <v>54</v>
      </c>
      <c r="G156" s="399">
        <v>17</v>
      </c>
      <c r="H156" s="55">
        <v>-80</v>
      </c>
      <c r="I156" s="473"/>
      <c r="J156" s="474"/>
      <c r="K156" s="474"/>
      <c r="L156" s="473"/>
      <c r="M156" s="474"/>
      <c r="N156" s="474"/>
      <c r="O156" s="473"/>
      <c r="P156" s="474"/>
      <c r="Q156" s="475"/>
      <c r="R156" s="54"/>
      <c r="S156" s="303"/>
      <c r="T156" s="303"/>
      <c r="U156" s="473"/>
      <c r="V156" s="474"/>
      <c r="W156" s="474"/>
      <c r="X156" s="473"/>
      <c r="Y156" s="474"/>
      <c r="Z156" s="474"/>
      <c r="AA156" s="473"/>
      <c r="AB156" s="474"/>
      <c r="AC156" s="475"/>
      <c r="AD156" s="54"/>
      <c r="AE156" s="55"/>
      <c r="AF156" s="309"/>
      <c r="AG156" s="55"/>
      <c r="AH156" s="55"/>
      <c r="AI156" s="56"/>
      <c r="AJ156" s="473"/>
      <c r="AK156" s="474"/>
      <c r="AL156" s="474"/>
      <c r="AM156" s="473"/>
      <c r="AN156" s="474"/>
      <c r="AO156" s="475"/>
      <c r="AP156" s="54"/>
      <c r="AQ156" s="55"/>
      <c r="AR156" s="309"/>
      <c r="AS156" s="55"/>
      <c r="AT156" s="55"/>
      <c r="AU156" s="56"/>
      <c r="AV156" s="473"/>
      <c r="AW156" s="474"/>
      <c r="AX156" s="474"/>
      <c r="AY156" s="473"/>
      <c r="AZ156" s="474"/>
      <c r="BA156" s="475"/>
      <c r="BB156" s="54"/>
      <c r="BC156" s="303"/>
      <c r="BD156" s="303"/>
      <c r="BE156" s="304"/>
      <c r="BF156" s="55"/>
      <c r="BG156" s="56"/>
      <c r="BH156" s="473"/>
      <c r="BI156" s="474"/>
      <c r="BJ156" s="474"/>
      <c r="BK156" s="473"/>
      <c r="BL156" s="474"/>
      <c r="BM156" s="475"/>
      <c r="BN156" s="54"/>
      <c r="BO156" s="55"/>
      <c r="BP156" s="309"/>
      <c r="BQ156" s="55"/>
      <c r="BR156" s="55"/>
      <c r="BS156" s="56"/>
      <c r="BT156" s="473"/>
      <c r="BU156" s="474"/>
      <c r="BV156" s="474"/>
      <c r="BW156" s="473"/>
      <c r="BX156" s="474"/>
      <c r="BY156" s="475"/>
      <c r="BZ156" s="473"/>
      <c r="CA156" s="474"/>
      <c r="CB156" s="474"/>
      <c r="CC156" s="473"/>
      <c r="CD156" s="474"/>
      <c r="CE156" s="475"/>
      <c r="CF156" s="473"/>
      <c r="CG156" s="474"/>
      <c r="CH156" s="474"/>
      <c r="CI156" s="473"/>
      <c r="CJ156" s="474"/>
      <c r="CK156" s="475"/>
    </row>
    <row r="158" spans="5:89" ht="10.5" x14ac:dyDescent="0.25">
      <c r="F158" s="26" t="s">
        <v>0</v>
      </c>
      <c r="G158" s="26"/>
      <c r="H158" s="449"/>
      <c r="I158" s="26"/>
      <c r="J158" s="26"/>
      <c r="K158" s="26"/>
      <c r="L158" s="26"/>
      <c r="M158" s="26"/>
      <c r="N158" s="26"/>
      <c r="O158" s="26"/>
      <c r="P158" s="26"/>
      <c r="Q158" s="26"/>
      <c r="R158" s="449" t="s">
        <v>1</v>
      </c>
      <c r="S158" s="25"/>
      <c r="T158" s="452"/>
      <c r="U158" s="25"/>
      <c r="AD158" s="450" t="s">
        <v>410</v>
      </c>
      <c r="AE158" s="450"/>
      <c r="AF158" s="451"/>
      <c r="AG158" s="450"/>
      <c r="AP158" s="450" t="s">
        <v>411</v>
      </c>
      <c r="AQ158" s="450"/>
      <c r="AR158" s="451"/>
      <c r="AS158" s="450"/>
      <c r="BB158" s="44" t="s">
        <v>223</v>
      </c>
      <c r="BD158" s="155"/>
      <c r="BN158" s="44" t="s">
        <v>351</v>
      </c>
      <c r="BZ158" s="44" t="s">
        <v>515</v>
      </c>
      <c r="CF158" s="2"/>
      <c r="CG158" s="2"/>
      <c r="CH158" s="2"/>
      <c r="CI158" s="2"/>
      <c r="CJ158" s="2"/>
      <c r="CK158" s="2"/>
    </row>
    <row r="159" spans="5:89" ht="11" thickBot="1" x14ac:dyDescent="0.3">
      <c r="F159" s="26" t="s">
        <v>113</v>
      </c>
      <c r="G159" s="26" t="s">
        <v>108</v>
      </c>
      <c r="H159" s="26" t="s">
        <v>109</v>
      </c>
      <c r="I159" s="26" t="s">
        <v>110</v>
      </c>
      <c r="J159" s="26" t="s">
        <v>111</v>
      </c>
      <c r="K159" s="26" t="s">
        <v>112</v>
      </c>
      <c r="L159" s="26"/>
      <c r="M159" s="26"/>
      <c r="N159" s="26"/>
      <c r="O159" s="26"/>
      <c r="P159" s="26"/>
      <c r="Q159" s="26"/>
      <c r="R159" s="26" t="s">
        <v>113</v>
      </c>
      <c r="S159" s="159" t="s">
        <v>108</v>
      </c>
      <c r="T159" s="159" t="s">
        <v>109</v>
      </c>
      <c r="U159" s="26" t="s">
        <v>110</v>
      </c>
      <c r="V159" s="26" t="s">
        <v>111</v>
      </c>
      <c r="W159" s="26" t="s">
        <v>112</v>
      </c>
      <c r="X159" s="26"/>
      <c r="Y159" s="26"/>
      <c r="Z159" s="26"/>
      <c r="AA159" s="26"/>
      <c r="AB159" s="26"/>
      <c r="AC159" s="26"/>
      <c r="AD159" s="159" t="s">
        <v>88</v>
      </c>
      <c r="AE159" s="159" t="s">
        <v>83</v>
      </c>
      <c r="AF159" s="159" t="s">
        <v>84</v>
      </c>
      <c r="AG159" s="159" t="s">
        <v>87</v>
      </c>
      <c r="AH159" s="159" t="s">
        <v>85</v>
      </c>
      <c r="AI159" s="159" t="s">
        <v>86</v>
      </c>
      <c r="AJ159" s="26"/>
      <c r="AK159" s="26"/>
      <c r="AL159" s="26"/>
      <c r="AM159" s="26"/>
      <c r="AN159" s="26"/>
      <c r="AO159" s="26"/>
      <c r="AP159" s="159" t="s">
        <v>88</v>
      </c>
      <c r="AQ159" s="159" t="s">
        <v>83</v>
      </c>
      <c r="AR159" s="159" t="s">
        <v>84</v>
      </c>
      <c r="AS159" s="159" t="s">
        <v>87</v>
      </c>
      <c r="AT159" s="159" t="s">
        <v>85</v>
      </c>
      <c r="AU159" s="159" t="s">
        <v>86</v>
      </c>
      <c r="AV159" s="26"/>
      <c r="AW159" s="26"/>
      <c r="AX159" s="26"/>
      <c r="AY159" s="26"/>
      <c r="AZ159" s="26"/>
      <c r="BA159" s="26"/>
      <c r="BB159" s="102" t="s">
        <v>88</v>
      </c>
      <c r="BC159" s="102" t="s">
        <v>83</v>
      </c>
      <c r="BD159" s="102" t="s">
        <v>84</v>
      </c>
      <c r="BE159" s="102" t="s">
        <v>87</v>
      </c>
      <c r="BF159" s="102" t="s">
        <v>85</v>
      </c>
      <c r="BG159" s="102" t="s">
        <v>86</v>
      </c>
      <c r="BH159" s="26"/>
      <c r="BI159" s="26"/>
      <c r="BJ159" s="26"/>
      <c r="BK159" s="26"/>
      <c r="BL159" s="26"/>
      <c r="BM159" s="26"/>
      <c r="BN159" s="102" t="s">
        <v>88</v>
      </c>
      <c r="BO159" s="102" t="s">
        <v>83</v>
      </c>
      <c r="BP159" s="102" t="s">
        <v>84</v>
      </c>
      <c r="BQ159" s="102" t="s">
        <v>87</v>
      </c>
      <c r="BR159" s="102" t="s">
        <v>85</v>
      </c>
      <c r="BS159" s="102" t="s">
        <v>86</v>
      </c>
      <c r="BT159" s="26"/>
      <c r="BU159" s="26"/>
      <c r="BV159" s="26"/>
      <c r="BW159" s="26"/>
      <c r="BX159" s="26"/>
      <c r="BY159" s="26"/>
      <c r="BZ159" s="102" t="s">
        <v>88</v>
      </c>
      <c r="CA159" s="102" t="s">
        <v>83</v>
      </c>
      <c r="CB159" s="102" t="s">
        <v>84</v>
      </c>
      <c r="CC159" s="102" t="s">
        <v>87</v>
      </c>
      <c r="CD159" s="102" t="s">
        <v>85</v>
      </c>
      <c r="CE159" s="102" t="s">
        <v>86</v>
      </c>
      <c r="CF159" s="102" t="s">
        <v>512</v>
      </c>
      <c r="CG159" s="102" t="s">
        <v>514</v>
      </c>
      <c r="CH159" s="102" t="s">
        <v>513</v>
      </c>
      <c r="CI159" s="102" t="s">
        <v>516</v>
      </c>
      <c r="CJ159" s="102" t="s">
        <v>517</v>
      </c>
      <c r="CK159" s="102" t="s">
        <v>518</v>
      </c>
    </row>
    <row r="160" spans="5:89" x14ac:dyDescent="0.2">
      <c r="E160" s="1" t="s">
        <v>493</v>
      </c>
      <c r="F160" s="293">
        <v>1</v>
      </c>
      <c r="G160" s="306">
        <v>18</v>
      </c>
      <c r="H160" s="50">
        <v>-89</v>
      </c>
      <c r="I160" s="467"/>
      <c r="J160" s="468"/>
      <c r="K160" s="468"/>
      <c r="L160" s="467"/>
      <c r="M160" s="468"/>
      <c r="N160" s="468"/>
      <c r="O160" s="467"/>
      <c r="P160" s="468"/>
      <c r="Q160" s="469"/>
      <c r="R160" s="293">
        <v>6</v>
      </c>
      <c r="S160" s="306">
        <v>17</v>
      </c>
      <c r="T160" s="301">
        <v>-93</v>
      </c>
      <c r="U160" s="467"/>
      <c r="V160" s="468"/>
      <c r="W160" s="468"/>
      <c r="X160" s="467"/>
      <c r="Y160" s="468"/>
      <c r="Z160" s="468"/>
      <c r="AA160" s="467"/>
      <c r="AB160" s="468"/>
      <c r="AC160" s="469"/>
      <c r="AD160" s="414">
        <v>7.2</v>
      </c>
      <c r="AE160" s="50">
        <v>17</v>
      </c>
      <c r="AF160" s="305">
        <v>-93</v>
      </c>
      <c r="AG160" s="96">
        <v>15</v>
      </c>
      <c r="AH160" s="50">
        <v>17</v>
      </c>
      <c r="AI160" s="305">
        <v>-90</v>
      </c>
      <c r="AJ160" s="467"/>
      <c r="AK160" s="468"/>
      <c r="AL160" s="468"/>
      <c r="AM160" s="467"/>
      <c r="AN160" s="468"/>
      <c r="AO160" s="469"/>
      <c r="AP160" s="414">
        <v>7.2</v>
      </c>
      <c r="AQ160" s="50">
        <v>17</v>
      </c>
      <c r="AR160" s="305">
        <v>-93</v>
      </c>
      <c r="AS160" s="306">
        <v>15</v>
      </c>
      <c r="AT160" s="50">
        <v>17</v>
      </c>
      <c r="AU160" s="305">
        <v>-90</v>
      </c>
      <c r="AV160" s="467"/>
      <c r="AW160" s="468"/>
      <c r="AX160" s="468"/>
      <c r="AY160" s="467"/>
      <c r="AZ160" s="468"/>
      <c r="BA160" s="469"/>
      <c r="BB160" s="293">
        <v>6</v>
      </c>
      <c r="BC160" s="306">
        <v>17</v>
      </c>
      <c r="BD160" s="301">
        <v>-93</v>
      </c>
      <c r="BE160" s="302">
        <v>12</v>
      </c>
      <c r="BF160" s="50">
        <v>17</v>
      </c>
      <c r="BG160" s="305">
        <v>-90</v>
      </c>
      <c r="BH160" s="467"/>
      <c r="BI160" s="468"/>
      <c r="BJ160" s="468"/>
      <c r="BK160" s="467"/>
      <c r="BL160" s="468"/>
      <c r="BM160" s="469"/>
      <c r="BN160" s="414">
        <v>7.2</v>
      </c>
      <c r="BO160" s="50">
        <v>17</v>
      </c>
      <c r="BP160" s="305">
        <v>-93</v>
      </c>
      <c r="BQ160" s="306">
        <v>15</v>
      </c>
      <c r="BR160" s="50">
        <v>17</v>
      </c>
      <c r="BS160" s="305">
        <v>-90</v>
      </c>
      <c r="BT160" s="467"/>
      <c r="BU160" s="468"/>
      <c r="BV160" s="468"/>
      <c r="BW160" s="467"/>
      <c r="BX160" s="468"/>
      <c r="BY160" s="469"/>
      <c r="BZ160" s="467"/>
      <c r="CA160" s="468"/>
      <c r="CB160" s="468"/>
      <c r="CC160" s="467"/>
      <c r="CD160" s="468"/>
      <c r="CE160" s="469"/>
      <c r="CF160" s="467"/>
      <c r="CG160" s="468"/>
      <c r="CH160" s="468"/>
      <c r="CI160" s="467"/>
      <c r="CJ160" s="468"/>
      <c r="CK160" s="469"/>
    </row>
    <row r="161" spans="5:89" x14ac:dyDescent="0.2">
      <c r="E161" s="234" t="s">
        <v>494</v>
      </c>
      <c r="F161" s="296">
        <v>5.5</v>
      </c>
      <c r="G161" s="24">
        <v>18</v>
      </c>
      <c r="H161" s="2">
        <v>-89</v>
      </c>
      <c r="I161" s="470"/>
      <c r="J161" s="471"/>
      <c r="K161" s="471"/>
      <c r="L161" s="470"/>
      <c r="M161" s="471"/>
      <c r="N161" s="471"/>
      <c r="O161" s="470"/>
      <c r="P161" s="471"/>
      <c r="Q161" s="472"/>
      <c r="R161" s="297">
        <v>9</v>
      </c>
      <c r="S161" s="24">
        <v>17</v>
      </c>
      <c r="T161" s="31">
        <v>-93</v>
      </c>
      <c r="U161" s="470"/>
      <c r="V161" s="471"/>
      <c r="W161" s="471"/>
      <c r="X161" s="470"/>
      <c r="Y161" s="471"/>
      <c r="Z161" s="471"/>
      <c r="AA161" s="470"/>
      <c r="AB161" s="471"/>
      <c r="AC161" s="472"/>
      <c r="AD161" s="39">
        <v>14.4</v>
      </c>
      <c r="AE161" s="2">
        <v>17</v>
      </c>
      <c r="AF161" s="95">
        <v>-93</v>
      </c>
      <c r="AG161" s="24">
        <v>30</v>
      </c>
      <c r="AH161" s="2">
        <v>17</v>
      </c>
      <c r="AI161" s="95">
        <v>-90</v>
      </c>
      <c r="AJ161" s="470"/>
      <c r="AK161" s="471"/>
      <c r="AL161" s="471"/>
      <c r="AM161" s="470"/>
      <c r="AN161" s="471"/>
      <c r="AO161" s="472"/>
      <c r="AP161" s="39">
        <v>14.4</v>
      </c>
      <c r="AQ161" s="2">
        <v>17</v>
      </c>
      <c r="AR161" s="95">
        <v>-93</v>
      </c>
      <c r="AS161" s="24">
        <v>30</v>
      </c>
      <c r="AT161" s="2">
        <v>17</v>
      </c>
      <c r="AU161" s="95">
        <v>-90</v>
      </c>
      <c r="AV161" s="470"/>
      <c r="AW161" s="471"/>
      <c r="AX161" s="471"/>
      <c r="AY161" s="470"/>
      <c r="AZ161" s="471"/>
      <c r="BA161" s="472"/>
      <c r="BB161" s="297">
        <v>9</v>
      </c>
      <c r="BC161" s="24">
        <v>17</v>
      </c>
      <c r="BD161" s="31">
        <v>-93</v>
      </c>
      <c r="BE161" s="30">
        <v>18</v>
      </c>
      <c r="BF161" s="2">
        <v>17</v>
      </c>
      <c r="BG161" s="95">
        <v>-90</v>
      </c>
      <c r="BH161" s="470"/>
      <c r="BI161" s="471"/>
      <c r="BJ161" s="471"/>
      <c r="BK161" s="470"/>
      <c r="BL161" s="471"/>
      <c r="BM161" s="472"/>
      <c r="BN161" s="39">
        <v>14.4</v>
      </c>
      <c r="BO161" s="2">
        <v>17</v>
      </c>
      <c r="BP161" s="95">
        <v>-93</v>
      </c>
      <c r="BQ161" s="24">
        <v>30</v>
      </c>
      <c r="BR161" s="2">
        <v>17</v>
      </c>
      <c r="BS161" s="95">
        <v>-90</v>
      </c>
      <c r="BT161" s="470"/>
      <c r="BU161" s="471"/>
      <c r="BV161" s="471"/>
      <c r="BW161" s="470"/>
      <c r="BX161" s="471"/>
      <c r="BY161" s="472"/>
      <c r="BZ161" s="470"/>
      <c r="CA161" s="471"/>
      <c r="CB161" s="471"/>
      <c r="CC161" s="470"/>
      <c r="CD161" s="471"/>
      <c r="CE161" s="472"/>
      <c r="CF161" s="470"/>
      <c r="CG161" s="471"/>
      <c r="CH161" s="471"/>
      <c r="CI161" s="470"/>
      <c r="CJ161" s="471"/>
      <c r="CK161" s="472"/>
    </row>
    <row r="162" spans="5:89" x14ac:dyDescent="0.2">
      <c r="F162" s="297">
        <v>6</v>
      </c>
      <c r="G162" s="24">
        <v>17</v>
      </c>
      <c r="H162" s="2">
        <v>-93</v>
      </c>
      <c r="I162" s="470"/>
      <c r="J162" s="471"/>
      <c r="K162" s="471"/>
      <c r="L162" s="470"/>
      <c r="M162" s="471"/>
      <c r="N162" s="471"/>
      <c r="O162" s="470"/>
      <c r="P162" s="471"/>
      <c r="Q162" s="472"/>
      <c r="R162" s="453">
        <v>12</v>
      </c>
      <c r="S162" s="24">
        <v>17</v>
      </c>
      <c r="T162" s="31">
        <v>-91</v>
      </c>
      <c r="U162" s="470"/>
      <c r="V162" s="471"/>
      <c r="W162" s="471"/>
      <c r="X162" s="470"/>
      <c r="Y162" s="471"/>
      <c r="Z162" s="471"/>
      <c r="AA162" s="470"/>
      <c r="AB162" s="471"/>
      <c r="AC162" s="472"/>
      <c r="AD162" s="39">
        <v>21.7</v>
      </c>
      <c r="AE162" s="2">
        <v>17</v>
      </c>
      <c r="AF162" s="95">
        <v>-91</v>
      </c>
      <c r="AG162" s="454">
        <v>45</v>
      </c>
      <c r="AH162" s="2">
        <v>17</v>
      </c>
      <c r="AI162" s="95">
        <v>-88</v>
      </c>
      <c r="AJ162" s="470"/>
      <c r="AK162" s="471"/>
      <c r="AL162" s="471"/>
      <c r="AM162" s="470"/>
      <c r="AN162" s="471"/>
      <c r="AO162" s="472"/>
      <c r="AP162" s="39">
        <v>21.7</v>
      </c>
      <c r="AQ162" s="2">
        <v>17</v>
      </c>
      <c r="AR162" s="95">
        <v>-91</v>
      </c>
      <c r="AS162" s="454">
        <v>45</v>
      </c>
      <c r="AT162" s="2">
        <v>17</v>
      </c>
      <c r="AU162" s="95">
        <v>-88</v>
      </c>
      <c r="AV162" s="470"/>
      <c r="AW162" s="471"/>
      <c r="AX162" s="471"/>
      <c r="AY162" s="470"/>
      <c r="AZ162" s="471"/>
      <c r="BA162" s="472"/>
      <c r="BB162" s="453">
        <v>12</v>
      </c>
      <c r="BC162" s="24">
        <v>17</v>
      </c>
      <c r="BD162" s="31">
        <v>-91</v>
      </c>
      <c r="BE162" s="30">
        <v>24</v>
      </c>
      <c r="BF162" s="2">
        <v>17</v>
      </c>
      <c r="BG162" s="95">
        <v>-88</v>
      </c>
      <c r="BH162" s="470"/>
      <c r="BI162" s="471"/>
      <c r="BJ162" s="471"/>
      <c r="BK162" s="470"/>
      <c r="BL162" s="471"/>
      <c r="BM162" s="472"/>
      <c r="BN162" s="39">
        <v>21.7</v>
      </c>
      <c r="BO162" s="2">
        <v>17</v>
      </c>
      <c r="BP162" s="95">
        <v>-91</v>
      </c>
      <c r="BQ162" s="454">
        <v>45</v>
      </c>
      <c r="BR162" s="2">
        <v>17</v>
      </c>
      <c r="BS162" s="95">
        <v>-88</v>
      </c>
      <c r="BT162" s="470"/>
      <c r="BU162" s="471"/>
      <c r="BV162" s="471"/>
      <c r="BW162" s="470"/>
      <c r="BX162" s="471"/>
      <c r="BY162" s="472"/>
      <c r="BZ162" s="470"/>
      <c r="CA162" s="471"/>
      <c r="CB162" s="471"/>
      <c r="CC162" s="470"/>
      <c r="CD162" s="471"/>
      <c r="CE162" s="472"/>
      <c r="CF162" s="470"/>
      <c r="CG162" s="471"/>
      <c r="CH162" s="471"/>
      <c r="CI162" s="470"/>
      <c r="CJ162" s="471"/>
      <c r="CK162" s="472"/>
    </row>
    <row r="163" spans="5:89" x14ac:dyDescent="0.2">
      <c r="F163" s="297">
        <v>9</v>
      </c>
      <c r="G163" s="24">
        <v>17</v>
      </c>
      <c r="H163" s="2">
        <v>-93</v>
      </c>
      <c r="I163" s="470"/>
      <c r="J163" s="471"/>
      <c r="K163" s="471"/>
      <c r="L163" s="470"/>
      <c r="M163" s="471"/>
      <c r="N163" s="471"/>
      <c r="O163" s="470"/>
      <c r="P163" s="471"/>
      <c r="Q163" s="472"/>
      <c r="R163" s="453">
        <v>18</v>
      </c>
      <c r="S163" s="24">
        <v>17</v>
      </c>
      <c r="T163" s="31">
        <v>-90</v>
      </c>
      <c r="U163" s="470"/>
      <c r="V163" s="471"/>
      <c r="W163" s="471"/>
      <c r="X163" s="470"/>
      <c r="Y163" s="471"/>
      <c r="Z163" s="471"/>
      <c r="AA163" s="470"/>
      <c r="AB163" s="471"/>
      <c r="AC163" s="472"/>
      <c r="AD163" s="39">
        <v>28.9</v>
      </c>
      <c r="AE163" s="2">
        <v>17</v>
      </c>
      <c r="AF163" s="95">
        <v>-90</v>
      </c>
      <c r="AG163" s="454">
        <v>60</v>
      </c>
      <c r="AH163" s="2">
        <v>17</v>
      </c>
      <c r="AI163" s="95">
        <v>-87</v>
      </c>
      <c r="AJ163" s="470"/>
      <c r="AK163" s="471"/>
      <c r="AL163" s="471"/>
      <c r="AM163" s="470"/>
      <c r="AN163" s="471"/>
      <c r="AO163" s="472"/>
      <c r="AP163" s="39">
        <v>28.9</v>
      </c>
      <c r="AQ163" s="2">
        <v>17</v>
      </c>
      <c r="AR163" s="95">
        <v>-90</v>
      </c>
      <c r="AS163" s="454">
        <v>60</v>
      </c>
      <c r="AT163" s="2">
        <v>17</v>
      </c>
      <c r="AU163" s="95">
        <v>-87</v>
      </c>
      <c r="AV163" s="470"/>
      <c r="AW163" s="471"/>
      <c r="AX163" s="471"/>
      <c r="AY163" s="470"/>
      <c r="AZ163" s="471"/>
      <c r="BA163" s="472"/>
      <c r="BB163" s="453">
        <v>18</v>
      </c>
      <c r="BC163" s="24">
        <v>17</v>
      </c>
      <c r="BD163" s="31">
        <v>-90</v>
      </c>
      <c r="BE163" s="30">
        <v>36</v>
      </c>
      <c r="BF163" s="2">
        <v>17</v>
      </c>
      <c r="BG163" s="95">
        <v>-87</v>
      </c>
      <c r="BH163" s="470"/>
      <c r="BI163" s="471"/>
      <c r="BJ163" s="471"/>
      <c r="BK163" s="470"/>
      <c r="BL163" s="471"/>
      <c r="BM163" s="472"/>
      <c r="BN163" s="39">
        <v>28.9</v>
      </c>
      <c r="BO163" s="2">
        <v>17</v>
      </c>
      <c r="BP163" s="95">
        <v>-90</v>
      </c>
      <c r="BQ163" s="454">
        <v>60</v>
      </c>
      <c r="BR163" s="2">
        <v>17</v>
      </c>
      <c r="BS163" s="95">
        <v>-87</v>
      </c>
      <c r="BT163" s="470"/>
      <c r="BU163" s="471"/>
      <c r="BV163" s="471"/>
      <c r="BW163" s="470"/>
      <c r="BX163" s="471"/>
      <c r="BY163" s="472"/>
      <c r="BZ163" s="470"/>
      <c r="CA163" s="471"/>
      <c r="CB163" s="471"/>
      <c r="CC163" s="470"/>
      <c r="CD163" s="471"/>
      <c r="CE163" s="472"/>
      <c r="CF163" s="470"/>
      <c r="CG163" s="471"/>
      <c r="CH163" s="471"/>
      <c r="CI163" s="470"/>
      <c r="CJ163" s="471"/>
      <c r="CK163" s="472"/>
    </row>
    <row r="164" spans="5:89" x14ac:dyDescent="0.2">
      <c r="F164" s="297">
        <v>11</v>
      </c>
      <c r="G164" s="24">
        <v>17</v>
      </c>
      <c r="H164" s="2">
        <v>-89</v>
      </c>
      <c r="I164" s="470"/>
      <c r="J164" s="471"/>
      <c r="K164" s="471"/>
      <c r="L164" s="470"/>
      <c r="M164" s="471"/>
      <c r="N164" s="471"/>
      <c r="O164" s="470"/>
      <c r="P164" s="471"/>
      <c r="Q164" s="472"/>
      <c r="R164" s="453">
        <v>24</v>
      </c>
      <c r="S164" s="24">
        <v>17</v>
      </c>
      <c r="T164" s="31">
        <v>-86</v>
      </c>
      <c r="U164" s="470"/>
      <c r="V164" s="471"/>
      <c r="W164" s="471"/>
      <c r="X164" s="470"/>
      <c r="Y164" s="471"/>
      <c r="Z164" s="471"/>
      <c r="AA164" s="470"/>
      <c r="AB164" s="471"/>
      <c r="AC164" s="472"/>
      <c r="AD164" s="39">
        <v>43.3</v>
      </c>
      <c r="AE164" s="2">
        <v>17</v>
      </c>
      <c r="AF164" s="95">
        <v>-86</v>
      </c>
      <c r="AG164" s="454">
        <v>90</v>
      </c>
      <c r="AH164" s="2">
        <v>17</v>
      </c>
      <c r="AI164" s="95">
        <v>-83</v>
      </c>
      <c r="AJ164" s="470"/>
      <c r="AK164" s="471"/>
      <c r="AL164" s="471"/>
      <c r="AM164" s="470"/>
      <c r="AN164" s="471"/>
      <c r="AO164" s="472"/>
      <c r="AP164" s="39">
        <v>43.3</v>
      </c>
      <c r="AQ164" s="2">
        <v>17</v>
      </c>
      <c r="AR164" s="95">
        <v>-86</v>
      </c>
      <c r="AS164" s="454">
        <v>90</v>
      </c>
      <c r="AT164" s="2">
        <v>17</v>
      </c>
      <c r="AU164" s="95">
        <v>-83</v>
      </c>
      <c r="AV164" s="470"/>
      <c r="AW164" s="471"/>
      <c r="AX164" s="471"/>
      <c r="AY164" s="470"/>
      <c r="AZ164" s="471"/>
      <c r="BA164" s="472"/>
      <c r="BB164" s="453">
        <v>24</v>
      </c>
      <c r="BC164" s="24">
        <v>17</v>
      </c>
      <c r="BD164" s="31">
        <v>-86</v>
      </c>
      <c r="BE164" s="30">
        <v>48</v>
      </c>
      <c r="BF164" s="2">
        <v>17</v>
      </c>
      <c r="BG164" s="95">
        <v>-83</v>
      </c>
      <c r="BH164" s="470"/>
      <c r="BI164" s="471"/>
      <c r="BJ164" s="471"/>
      <c r="BK164" s="470"/>
      <c r="BL164" s="471"/>
      <c r="BM164" s="472"/>
      <c r="BN164" s="39">
        <v>43.3</v>
      </c>
      <c r="BO164" s="2">
        <v>17</v>
      </c>
      <c r="BP164" s="95">
        <v>-86</v>
      </c>
      <c r="BQ164" s="454">
        <v>90</v>
      </c>
      <c r="BR164" s="2">
        <v>17</v>
      </c>
      <c r="BS164" s="95">
        <v>-83</v>
      </c>
      <c r="BT164" s="470"/>
      <c r="BU164" s="471"/>
      <c r="BV164" s="471"/>
      <c r="BW164" s="470"/>
      <c r="BX164" s="471"/>
      <c r="BY164" s="472"/>
      <c r="BZ164" s="470"/>
      <c r="CA164" s="471"/>
      <c r="CB164" s="471"/>
      <c r="CC164" s="470"/>
      <c r="CD164" s="471"/>
      <c r="CE164" s="472"/>
      <c r="CF164" s="470"/>
      <c r="CG164" s="471"/>
      <c r="CH164" s="471"/>
      <c r="CI164" s="470"/>
      <c r="CJ164" s="471"/>
      <c r="CK164" s="472"/>
    </row>
    <row r="165" spans="5:89" x14ac:dyDescent="0.2">
      <c r="F165" s="297">
        <v>12</v>
      </c>
      <c r="G165" s="24">
        <v>17</v>
      </c>
      <c r="H165" s="2">
        <v>-93</v>
      </c>
      <c r="I165" s="470"/>
      <c r="J165" s="471"/>
      <c r="K165" s="471"/>
      <c r="L165" s="470"/>
      <c r="M165" s="471"/>
      <c r="N165" s="471"/>
      <c r="O165" s="470"/>
      <c r="P165" s="471"/>
      <c r="Q165" s="472"/>
      <c r="R165" s="453">
        <v>36</v>
      </c>
      <c r="S165" s="24">
        <v>15</v>
      </c>
      <c r="T165" s="31">
        <v>-83</v>
      </c>
      <c r="U165" s="470"/>
      <c r="V165" s="471"/>
      <c r="W165" s="471"/>
      <c r="X165" s="470"/>
      <c r="Y165" s="471"/>
      <c r="Z165" s="471"/>
      <c r="AA165" s="470"/>
      <c r="AB165" s="471"/>
      <c r="AC165" s="472"/>
      <c r="AD165" s="39">
        <v>57.8</v>
      </c>
      <c r="AE165" s="2">
        <v>15</v>
      </c>
      <c r="AF165" s="95">
        <v>-83</v>
      </c>
      <c r="AG165" s="454">
        <v>120</v>
      </c>
      <c r="AH165" s="2">
        <v>15</v>
      </c>
      <c r="AI165" s="95">
        <v>-80</v>
      </c>
      <c r="AJ165" s="470"/>
      <c r="AK165" s="471"/>
      <c r="AL165" s="471"/>
      <c r="AM165" s="470"/>
      <c r="AN165" s="471"/>
      <c r="AO165" s="472"/>
      <c r="AP165" s="39">
        <v>57.8</v>
      </c>
      <c r="AQ165" s="2">
        <v>15</v>
      </c>
      <c r="AR165" s="95">
        <v>-83</v>
      </c>
      <c r="AS165" s="454">
        <v>120</v>
      </c>
      <c r="AT165" s="2">
        <v>15</v>
      </c>
      <c r="AU165" s="95">
        <v>-80</v>
      </c>
      <c r="AV165" s="470"/>
      <c r="AW165" s="471"/>
      <c r="AX165" s="471"/>
      <c r="AY165" s="470"/>
      <c r="AZ165" s="471"/>
      <c r="BA165" s="472"/>
      <c r="BB165" s="453">
        <v>36</v>
      </c>
      <c r="BC165" s="24">
        <v>15</v>
      </c>
      <c r="BD165" s="31">
        <v>-83</v>
      </c>
      <c r="BE165" s="30">
        <v>72</v>
      </c>
      <c r="BF165" s="2">
        <v>15</v>
      </c>
      <c r="BG165" s="95">
        <v>-80</v>
      </c>
      <c r="BH165" s="470"/>
      <c r="BI165" s="471"/>
      <c r="BJ165" s="471"/>
      <c r="BK165" s="470"/>
      <c r="BL165" s="471"/>
      <c r="BM165" s="472"/>
      <c r="BN165" s="39">
        <v>57.8</v>
      </c>
      <c r="BO165" s="2">
        <v>15</v>
      </c>
      <c r="BP165" s="95">
        <v>-83</v>
      </c>
      <c r="BQ165" s="454">
        <v>120</v>
      </c>
      <c r="BR165" s="2">
        <v>15</v>
      </c>
      <c r="BS165" s="95">
        <v>-80</v>
      </c>
      <c r="BT165" s="470"/>
      <c r="BU165" s="471"/>
      <c r="BV165" s="471"/>
      <c r="BW165" s="470"/>
      <c r="BX165" s="471"/>
      <c r="BY165" s="472"/>
      <c r="BZ165" s="470"/>
      <c r="CA165" s="471"/>
      <c r="CB165" s="471"/>
      <c r="CC165" s="470"/>
      <c r="CD165" s="471"/>
      <c r="CE165" s="472"/>
      <c r="CF165" s="470"/>
      <c r="CG165" s="471"/>
      <c r="CH165" s="471"/>
      <c r="CI165" s="470"/>
      <c r="CJ165" s="471"/>
      <c r="CK165" s="472"/>
    </row>
    <row r="166" spans="5:89" x14ac:dyDescent="0.2">
      <c r="F166" s="453">
        <v>18</v>
      </c>
      <c r="G166" s="24">
        <v>17</v>
      </c>
      <c r="H166" s="2">
        <v>-91</v>
      </c>
      <c r="I166" s="470"/>
      <c r="J166" s="471"/>
      <c r="K166" s="471"/>
      <c r="L166" s="470"/>
      <c r="M166" s="471"/>
      <c r="N166" s="471"/>
      <c r="O166" s="470"/>
      <c r="P166" s="471"/>
      <c r="Q166" s="472"/>
      <c r="R166" s="453">
        <v>48</v>
      </c>
      <c r="S166" s="24">
        <v>14</v>
      </c>
      <c r="T166" s="31">
        <v>-79</v>
      </c>
      <c r="U166" s="470"/>
      <c r="V166" s="471"/>
      <c r="W166" s="471"/>
      <c r="X166" s="470"/>
      <c r="Y166" s="471"/>
      <c r="Z166" s="471"/>
      <c r="AA166" s="470"/>
      <c r="AB166" s="471"/>
      <c r="AC166" s="472"/>
      <c r="AD166" s="39">
        <v>65</v>
      </c>
      <c r="AE166" s="2">
        <v>14</v>
      </c>
      <c r="AF166" s="95">
        <v>-80</v>
      </c>
      <c r="AG166" s="454">
        <v>135</v>
      </c>
      <c r="AH166" s="2">
        <v>14</v>
      </c>
      <c r="AI166" s="95">
        <v>-77</v>
      </c>
      <c r="AJ166" s="470"/>
      <c r="AK166" s="471"/>
      <c r="AL166" s="471"/>
      <c r="AM166" s="470"/>
      <c r="AN166" s="471"/>
      <c r="AO166" s="472"/>
      <c r="AP166" s="39">
        <v>65</v>
      </c>
      <c r="AQ166" s="2">
        <v>14</v>
      </c>
      <c r="AR166" s="95">
        <v>-80</v>
      </c>
      <c r="AS166" s="454">
        <v>135</v>
      </c>
      <c r="AT166" s="2">
        <v>14</v>
      </c>
      <c r="AU166" s="95">
        <v>-77</v>
      </c>
      <c r="AV166" s="470"/>
      <c r="AW166" s="471"/>
      <c r="AX166" s="471"/>
      <c r="AY166" s="470"/>
      <c r="AZ166" s="471"/>
      <c r="BA166" s="472"/>
      <c r="BB166" s="453">
        <v>48</v>
      </c>
      <c r="BC166" s="24">
        <v>14</v>
      </c>
      <c r="BD166" s="31">
        <v>-80</v>
      </c>
      <c r="BE166" s="30">
        <v>96</v>
      </c>
      <c r="BF166" s="2">
        <v>14</v>
      </c>
      <c r="BG166" s="95">
        <v>-77</v>
      </c>
      <c r="BH166" s="470"/>
      <c r="BI166" s="471"/>
      <c r="BJ166" s="471"/>
      <c r="BK166" s="470"/>
      <c r="BL166" s="471"/>
      <c r="BM166" s="472"/>
      <c r="BN166" s="39">
        <v>65</v>
      </c>
      <c r="BO166" s="2">
        <v>14</v>
      </c>
      <c r="BP166" s="95">
        <v>-80</v>
      </c>
      <c r="BQ166" s="454">
        <v>135</v>
      </c>
      <c r="BR166" s="2">
        <v>14</v>
      </c>
      <c r="BS166" s="95">
        <v>-77</v>
      </c>
      <c r="BT166" s="470"/>
      <c r="BU166" s="471"/>
      <c r="BV166" s="471"/>
      <c r="BW166" s="470"/>
      <c r="BX166" s="471"/>
      <c r="BY166" s="472"/>
      <c r="BZ166" s="470"/>
      <c r="CA166" s="471"/>
      <c r="CB166" s="471"/>
      <c r="CC166" s="470"/>
      <c r="CD166" s="471"/>
      <c r="CE166" s="472"/>
      <c r="CF166" s="470"/>
      <c r="CG166" s="471"/>
      <c r="CH166" s="471"/>
      <c r="CI166" s="470"/>
      <c r="CJ166" s="471"/>
      <c r="CK166" s="472"/>
    </row>
    <row r="167" spans="5:89" x14ac:dyDescent="0.2">
      <c r="F167" s="453">
        <v>24</v>
      </c>
      <c r="G167" s="24">
        <v>17</v>
      </c>
      <c r="H167" s="2">
        <v>-88</v>
      </c>
      <c r="I167" s="470"/>
      <c r="J167" s="471"/>
      <c r="K167" s="471"/>
      <c r="L167" s="470"/>
      <c r="M167" s="471"/>
      <c r="N167" s="471"/>
      <c r="O167" s="470"/>
      <c r="P167" s="471"/>
      <c r="Q167" s="472"/>
      <c r="R167" s="297">
        <v>54</v>
      </c>
      <c r="S167" s="24">
        <v>13</v>
      </c>
      <c r="T167" s="31">
        <v>-75</v>
      </c>
      <c r="U167" s="470"/>
      <c r="V167" s="471"/>
      <c r="W167" s="471"/>
      <c r="X167" s="470"/>
      <c r="Y167" s="471"/>
      <c r="Z167" s="471"/>
      <c r="AA167" s="470"/>
      <c r="AB167" s="471"/>
      <c r="AC167" s="472"/>
      <c r="AD167" s="39">
        <v>72.2</v>
      </c>
      <c r="AE167" s="2">
        <v>13</v>
      </c>
      <c r="AF167" s="95">
        <v>-75</v>
      </c>
      <c r="AG167" s="455">
        <v>150</v>
      </c>
      <c r="AH167" s="2">
        <v>13</v>
      </c>
      <c r="AI167" s="95">
        <v>-72</v>
      </c>
      <c r="AJ167" s="470"/>
      <c r="AK167" s="471"/>
      <c r="AL167" s="471"/>
      <c r="AM167" s="470"/>
      <c r="AN167" s="471"/>
      <c r="AO167" s="472"/>
      <c r="AP167" s="39">
        <v>72.2</v>
      </c>
      <c r="AQ167" s="2">
        <v>13</v>
      </c>
      <c r="AR167" s="95">
        <v>-71</v>
      </c>
      <c r="AS167" s="455">
        <v>150</v>
      </c>
      <c r="AT167" s="2">
        <v>13</v>
      </c>
      <c r="AU167" s="95">
        <v>-68</v>
      </c>
      <c r="AV167" s="470"/>
      <c r="AW167" s="471"/>
      <c r="AX167" s="471"/>
      <c r="AY167" s="470"/>
      <c r="AZ167" s="471"/>
      <c r="BA167" s="472"/>
      <c r="BB167" s="297">
        <v>54</v>
      </c>
      <c r="BC167" s="24">
        <v>13</v>
      </c>
      <c r="BD167" s="31">
        <v>-75</v>
      </c>
      <c r="BE167" s="30">
        <v>108</v>
      </c>
      <c r="BF167" s="2">
        <v>13</v>
      </c>
      <c r="BG167" s="95">
        <v>-68</v>
      </c>
      <c r="BH167" s="470"/>
      <c r="BI167" s="471"/>
      <c r="BJ167" s="471"/>
      <c r="BK167" s="470"/>
      <c r="BL167" s="471"/>
      <c r="BM167" s="472"/>
      <c r="BN167" s="39">
        <v>72.2</v>
      </c>
      <c r="BO167" s="2">
        <v>13</v>
      </c>
      <c r="BP167" s="95">
        <v>-71</v>
      </c>
      <c r="BQ167" s="455">
        <v>150</v>
      </c>
      <c r="BR167" s="2">
        <v>13</v>
      </c>
      <c r="BS167" s="95">
        <v>-68</v>
      </c>
      <c r="BT167" s="470"/>
      <c r="BU167" s="471"/>
      <c r="BV167" s="471"/>
      <c r="BW167" s="470"/>
      <c r="BX167" s="471"/>
      <c r="BY167" s="472"/>
      <c r="BZ167" s="470"/>
      <c r="CA167" s="471"/>
      <c r="CB167" s="471"/>
      <c r="CC167" s="470"/>
      <c r="CD167" s="471"/>
      <c r="CE167" s="472"/>
      <c r="CF167" s="470"/>
      <c r="CG167" s="471"/>
      <c r="CH167" s="471"/>
      <c r="CI167" s="470"/>
      <c r="CJ167" s="471"/>
      <c r="CK167" s="472"/>
    </row>
    <row r="168" spans="5:89" x14ac:dyDescent="0.2">
      <c r="F168" s="453">
        <v>36</v>
      </c>
      <c r="G168" s="24">
        <v>15</v>
      </c>
      <c r="H168" s="2">
        <v>-85</v>
      </c>
      <c r="I168" s="470"/>
      <c r="J168" s="471"/>
      <c r="K168" s="471"/>
      <c r="L168" s="470"/>
      <c r="M168" s="471"/>
      <c r="N168" s="471"/>
      <c r="O168" s="470"/>
      <c r="P168" s="471"/>
      <c r="Q168" s="472"/>
      <c r="R168" s="52"/>
      <c r="S168" s="2"/>
      <c r="T168" s="2"/>
      <c r="U168" s="470"/>
      <c r="V168" s="471"/>
      <c r="W168" s="471"/>
      <c r="X168" s="470"/>
      <c r="Y168" s="471"/>
      <c r="Z168" s="471"/>
      <c r="AA168" s="470"/>
      <c r="AB168" s="471"/>
      <c r="AC168" s="472"/>
      <c r="AD168" s="52"/>
      <c r="AE168" s="2"/>
      <c r="AF168" s="10"/>
      <c r="AG168" s="2"/>
      <c r="AH168" s="2"/>
      <c r="AI168" s="53"/>
      <c r="AJ168" s="470"/>
      <c r="AK168" s="471"/>
      <c r="AL168" s="471"/>
      <c r="AM168" s="470"/>
      <c r="AN168" s="471"/>
      <c r="AO168" s="472"/>
      <c r="AP168" s="39"/>
      <c r="AQ168" s="2"/>
      <c r="AR168" s="10"/>
      <c r="AS168" s="2"/>
      <c r="AT168" s="2"/>
      <c r="AU168" s="53"/>
      <c r="AV168" s="470"/>
      <c r="AW168" s="471"/>
      <c r="AX168" s="471"/>
      <c r="AY168" s="470"/>
      <c r="AZ168" s="471"/>
      <c r="BA168" s="472"/>
      <c r="BB168" s="52"/>
      <c r="BC168" s="2"/>
      <c r="BD168" s="2"/>
      <c r="BE168" s="39"/>
      <c r="BF168" s="24"/>
      <c r="BG168" s="53"/>
      <c r="BH168" s="470"/>
      <c r="BI168" s="471"/>
      <c r="BJ168" s="471"/>
      <c r="BK168" s="470"/>
      <c r="BL168" s="471"/>
      <c r="BM168" s="472"/>
      <c r="BN168" s="52"/>
      <c r="BO168" s="2"/>
      <c r="BP168" s="10"/>
      <c r="BQ168" s="2"/>
      <c r="BR168" s="2"/>
      <c r="BS168" s="53"/>
      <c r="BT168" s="470"/>
      <c r="BU168" s="471"/>
      <c r="BV168" s="471"/>
      <c r="BW168" s="470"/>
      <c r="BX168" s="471"/>
      <c r="BY168" s="472"/>
      <c r="BZ168" s="470"/>
      <c r="CA168" s="471"/>
      <c r="CB168" s="471"/>
      <c r="CC168" s="470"/>
      <c r="CD168" s="471"/>
      <c r="CE168" s="472"/>
      <c r="CF168" s="470"/>
      <c r="CG168" s="471"/>
      <c r="CH168" s="471"/>
      <c r="CI168" s="470"/>
      <c r="CJ168" s="471"/>
      <c r="CK168" s="472"/>
    </row>
    <row r="169" spans="5:89" x14ac:dyDescent="0.2">
      <c r="F169" s="453">
        <v>48</v>
      </c>
      <c r="G169" s="24">
        <v>14</v>
      </c>
      <c r="H169" s="2">
        <v>-81</v>
      </c>
      <c r="I169" s="470"/>
      <c r="J169" s="471"/>
      <c r="K169" s="471"/>
      <c r="L169" s="470"/>
      <c r="M169" s="471"/>
      <c r="N169" s="471"/>
      <c r="O169" s="470"/>
      <c r="P169" s="471"/>
      <c r="Q169" s="472"/>
      <c r="R169" s="52"/>
      <c r="S169" s="31"/>
      <c r="T169" s="31"/>
      <c r="U169" s="470"/>
      <c r="V169" s="471"/>
      <c r="W169" s="471"/>
      <c r="X169" s="470"/>
      <c r="Y169" s="471"/>
      <c r="Z169" s="471"/>
      <c r="AA169" s="470"/>
      <c r="AB169" s="471"/>
      <c r="AC169" s="472"/>
      <c r="AD169" s="52"/>
      <c r="AE169" s="2"/>
      <c r="AF169" s="10"/>
      <c r="AG169" s="2"/>
      <c r="AH169" s="2"/>
      <c r="AI169" s="53"/>
      <c r="AJ169" s="470"/>
      <c r="AK169" s="471"/>
      <c r="AL169" s="471"/>
      <c r="AM169" s="470"/>
      <c r="AN169" s="471"/>
      <c r="AO169" s="472"/>
      <c r="AP169" s="52"/>
      <c r="AQ169" s="2"/>
      <c r="AR169" s="10"/>
      <c r="AS169" s="2"/>
      <c r="AT169" s="2"/>
      <c r="AU169" s="53"/>
      <c r="AV169" s="470"/>
      <c r="AW169" s="471"/>
      <c r="AX169" s="471"/>
      <c r="AY169" s="470"/>
      <c r="AZ169" s="471"/>
      <c r="BA169" s="472"/>
      <c r="BB169" s="52"/>
      <c r="BC169" s="31"/>
      <c r="BD169" s="31"/>
      <c r="BE169" s="39"/>
      <c r="BF169" s="2"/>
      <c r="BG169" s="53"/>
      <c r="BH169" s="470"/>
      <c r="BI169" s="471"/>
      <c r="BJ169" s="471"/>
      <c r="BK169" s="470"/>
      <c r="BL169" s="471"/>
      <c r="BM169" s="472"/>
      <c r="BN169" s="52"/>
      <c r="BO169" s="2"/>
      <c r="BP169" s="10"/>
      <c r="BQ169" s="2"/>
      <c r="BR169" s="2"/>
      <c r="BS169" s="53"/>
      <c r="BT169" s="470"/>
      <c r="BU169" s="471"/>
      <c r="BV169" s="471"/>
      <c r="BW169" s="470"/>
      <c r="BX169" s="471"/>
      <c r="BY169" s="472"/>
      <c r="BZ169" s="470"/>
      <c r="CA169" s="471"/>
      <c r="CB169" s="471"/>
      <c r="CC169" s="470"/>
      <c r="CD169" s="471"/>
      <c r="CE169" s="472"/>
      <c r="CF169" s="470"/>
      <c r="CG169" s="471"/>
      <c r="CH169" s="471"/>
      <c r="CI169" s="470"/>
      <c r="CJ169" s="471"/>
      <c r="CK169" s="472"/>
    </row>
    <row r="170" spans="5:89" ht="10.5" thickBot="1" x14ac:dyDescent="0.25">
      <c r="F170" s="298">
        <v>54</v>
      </c>
      <c r="G170" s="399">
        <v>13</v>
      </c>
      <c r="H170" s="55">
        <v>-79</v>
      </c>
      <c r="I170" s="473"/>
      <c r="J170" s="474"/>
      <c r="K170" s="474"/>
      <c r="L170" s="473"/>
      <c r="M170" s="474"/>
      <c r="N170" s="474"/>
      <c r="O170" s="473"/>
      <c r="P170" s="474"/>
      <c r="Q170" s="475"/>
      <c r="R170" s="54"/>
      <c r="S170" s="303"/>
      <c r="T170" s="303"/>
      <c r="U170" s="473"/>
      <c r="V170" s="474"/>
      <c r="W170" s="474"/>
      <c r="X170" s="473"/>
      <c r="Y170" s="474"/>
      <c r="Z170" s="474"/>
      <c r="AA170" s="473"/>
      <c r="AB170" s="474"/>
      <c r="AC170" s="475"/>
      <c r="AD170" s="54"/>
      <c r="AE170" s="55"/>
      <c r="AF170" s="309"/>
      <c r="AG170" s="55"/>
      <c r="AH170" s="55"/>
      <c r="AI170" s="56"/>
      <c r="AJ170" s="473"/>
      <c r="AK170" s="474"/>
      <c r="AL170" s="474"/>
      <c r="AM170" s="473"/>
      <c r="AN170" s="474"/>
      <c r="AO170" s="475"/>
      <c r="AP170" s="54"/>
      <c r="AQ170" s="55"/>
      <c r="AR170" s="309"/>
      <c r="AS170" s="55"/>
      <c r="AT170" s="55"/>
      <c r="AU170" s="56"/>
      <c r="AV170" s="473"/>
      <c r="AW170" s="474"/>
      <c r="AX170" s="474"/>
      <c r="AY170" s="473"/>
      <c r="AZ170" s="474"/>
      <c r="BA170" s="475"/>
      <c r="BB170" s="54"/>
      <c r="BC170" s="303"/>
      <c r="BD170" s="303"/>
      <c r="BE170" s="304"/>
      <c r="BF170" s="55"/>
      <c r="BG170" s="56"/>
      <c r="BH170" s="473"/>
      <c r="BI170" s="474"/>
      <c r="BJ170" s="474"/>
      <c r="BK170" s="473"/>
      <c r="BL170" s="474"/>
      <c r="BM170" s="475"/>
      <c r="BN170" s="54"/>
      <c r="BO170" s="55"/>
      <c r="BP170" s="309"/>
      <c r="BQ170" s="55"/>
      <c r="BR170" s="55"/>
      <c r="BS170" s="56"/>
      <c r="BT170" s="473"/>
      <c r="BU170" s="474"/>
      <c r="BV170" s="474"/>
      <c r="BW170" s="473"/>
      <c r="BX170" s="474"/>
      <c r="BY170" s="475"/>
      <c r="BZ170" s="473"/>
      <c r="CA170" s="474"/>
      <c r="CB170" s="474"/>
      <c r="CC170" s="473"/>
      <c r="CD170" s="474"/>
      <c r="CE170" s="475"/>
      <c r="CF170" s="473"/>
      <c r="CG170" s="474"/>
      <c r="CH170" s="474"/>
      <c r="CI170" s="473"/>
      <c r="CJ170" s="474"/>
      <c r="CK170" s="475"/>
    </row>
    <row r="172" spans="5:89" ht="10.5" x14ac:dyDescent="0.25">
      <c r="F172" s="26" t="s">
        <v>0</v>
      </c>
      <c r="G172" s="26"/>
      <c r="H172" s="449"/>
      <c r="I172" s="26"/>
      <c r="J172" s="26"/>
      <c r="K172" s="26"/>
      <c r="L172" s="26"/>
      <c r="M172" s="26"/>
      <c r="N172" s="26"/>
      <c r="O172" s="26"/>
      <c r="P172" s="26"/>
      <c r="Q172" s="26"/>
      <c r="R172" s="449" t="s">
        <v>1</v>
      </c>
      <c r="S172" s="25"/>
      <c r="T172" s="452"/>
      <c r="U172" s="25"/>
      <c r="AD172" s="450" t="s">
        <v>410</v>
      </c>
      <c r="AE172" s="450"/>
      <c r="AF172" s="451"/>
      <c r="AG172" s="450"/>
      <c r="AP172" s="450" t="s">
        <v>411</v>
      </c>
      <c r="AQ172" s="450"/>
      <c r="AR172" s="451"/>
      <c r="AS172" s="450"/>
      <c r="BB172" s="44" t="s">
        <v>223</v>
      </c>
      <c r="BD172" s="155"/>
      <c r="BN172" s="44" t="s">
        <v>351</v>
      </c>
      <c r="BZ172" s="44" t="s">
        <v>515</v>
      </c>
      <c r="CF172" s="2"/>
      <c r="CG172" s="2"/>
      <c r="CH172" s="2"/>
      <c r="CI172" s="2"/>
      <c r="CJ172" s="2"/>
      <c r="CK172" s="2"/>
    </row>
    <row r="173" spans="5:89" ht="11" thickBot="1" x14ac:dyDescent="0.3">
      <c r="F173" s="26" t="s">
        <v>113</v>
      </c>
      <c r="G173" s="26" t="s">
        <v>108</v>
      </c>
      <c r="H173" s="26" t="s">
        <v>109</v>
      </c>
      <c r="I173" s="26" t="s">
        <v>110</v>
      </c>
      <c r="J173" s="26" t="s">
        <v>111</v>
      </c>
      <c r="K173" s="26" t="s">
        <v>112</v>
      </c>
      <c r="L173" s="26"/>
      <c r="M173" s="26"/>
      <c r="N173" s="26"/>
      <c r="O173" s="26"/>
      <c r="P173" s="26"/>
      <c r="Q173" s="26"/>
      <c r="R173" s="26" t="s">
        <v>113</v>
      </c>
      <c r="S173" s="159" t="s">
        <v>108</v>
      </c>
      <c r="T173" s="159" t="s">
        <v>109</v>
      </c>
      <c r="U173" s="26" t="s">
        <v>110</v>
      </c>
      <c r="V173" s="26" t="s">
        <v>111</v>
      </c>
      <c r="W173" s="26" t="s">
        <v>112</v>
      </c>
      <c r="X173" s="26"/>
      <c r="Y173" s="26"/>
      <c r="Z173" s="26"/>
      <c r="AA173" s="26"/>
      <c r="AB173" s="26"/>
      <c r="AC173" s="26"/>
      <c r="AD173" s="159" t="s">
        <v>88</v>
      </c>
      <c r="AE173" s="159" t="s">
        <v>83</v>
      </c>
      <c r="AF173" s="159" t="s">
        <v>84</v>
      </c>
      <c r="AG173" s="159" t="s">
        <v>87</v>
      </c>
      <c r="AH173" s="159" t="s">
        <v>85</v>
      </c>
      <c r="AI173" s="159" t="s">
        <v>86</v>
      </c>
      <c r="AJ173" s="26"/>
      <c r="AK173" s="26"/>
      <c r="AL173" s="26"/>
      <c r="AM173" s="26"/>
      <c r="AN173" s="26"/>
      <c r="AO173" s="26"/>
      <c r="AP173" s="159" t="s">
        <v>88</v>
      </c>
      <c r="AQ173" s="159" t="s">
        <v>83</v>
      </c>
      <c r="AR173" s="159" t="s">
        <v>84</v>
      </c>
      <c r="AS173" s="159" t="s">
        <v>87</v>
      </c>
      <c r="AT173" s="159" t="s">
        <v>85</v>
      </c>
      <c r="AU173" s="159" t="s">
        <v>86</v>
      </c>
      <c r="AV173" s="26"/>
      <c r="AW173" s="26"/>
      <c r="AX173" s="26"/>
      <c r="AY173" s="26"/>
      <c r="AZ173" s="26"/>
      <c r="BA173" s="26"/>
      <c r="BB173" s="102" t="s">
        <v>88</v>
      </c>
      <c r="BC173" s="102" t="s">
        <v>83</v>
      </c>
      <c r="BD173" s="102" t="s">
        <v>84</v>
      </c>
      <c r="BE173" s="102" t="s">
        <v>87</v>
      </c>
      <c r="BF173" s="102" t="s">
        <v>85</v>
      </c>
      <c r="BG173" s="102" t="s">
        <v>86</v>
      </c>
      <c r="BH173" s="26"/>
      <c r="BI173" s="26"/>
      <c r="BJ173" s="26"/>
      <c r="BK173" s="26"/>
      <c r="BL173" s="26"/>
      <c r="BM173" s="26"/>
      <c r="BN173" s="102" t="s">
        <v>88</v>
      </c>
      <c r="BO173" s="102" t="s">
        <v>83</v>
      </c>
      <c r="BP173" s="102" t="s">
        <v>84</v>
      </c>
      <c r="BQ173" s="102" t="s">
        <v>87</v>
      </c>
      <c r="BR173" s="102" t="s">
        <v>85</v>
      </c>
      <c r="BS173" s="102" t="s">
        <v>86</v>
      </c>
      <c r="BT173" s="26"/>
      <c r="BU173" s="26"/>
      <c r="BV173" s="26"/>
      <c r="BW173" s="26"/>
      <c r="BX173" s="26"/>
      <c r="BY173" s="26"/>
      <c r="BZ173" s="102" t="s">
        <v>88</v>
      </c>
      <c r="CA173" s="102" t="s">
        <v>83</v>
      </c>
      <c r="CB173" s="102" t="s">
        <v>84</v>
      </c>
      <c r="CC173" s="102" t="s">
        <v>87</v>
      </c>
      <c r="CD173" s="102" t="s">
        <v>85</v>
      </c>
      <c r="CE173" s="102" t="s">
        <v>86</v>
      </c>
      <c r="CF173" s="102" t="s">
        <v>512</v>
      </c>
      <c r="CG173" s="102" t="s">
        <v>514</v>
      </c>
      <c r="CH173" s="102" t="s">
        <v>513</v>
      </c>
      <c r="CI173" s="102" t="s">
        <v>516</v>
      </c>
      <c r="CJ173" s="102" t="s">
        <v>517</v>
      </c>
      <c r="CK173" s="102" t="s">
        <v>518</v>
      </c>
    </row>
    <row r="174" spans="5:89" x14ac:dyDescent="0.2">
      <c r="E174" s="1" t="s">
        <v>497</v>
      </c>
      <c r="F174" s="293">
        <v>1</v>
      </c>
      <c r="G174" s="306">
        <v>21</v>
      </c>
      <c r="H174" s="50">
        <v>-101</v>
      </c>
      <c r="I174" s="467"/>
      <c r="J174" s="468"/>
      <c r="K174" s="468"/>
      <c r="L174" s="467"/>
      <c r="M174" s="468"/>
      <c r="N174" s="468"/>
      <c r="O174" s="467"/>
      <c r="P174" s="468"/>
      <c r="Q174" s="469"/>
      <c r="R174" s="293">
        <v>6</v>
      </c>
      <c r="S174" s="306">
        <v>17</v>
      </c>
      <c r="T174" s="301">
        <v>-93</v>
      </c>
      <c r="U174" s="467"/>
      <c r="V174" s="468"/>
      <c r="W174" s="468"/>
      <c r="X174" s="467"/>
      <c r="Y174" s="468"/>
      <c r="Z174" s="468"/>
      <c r="AA174" s="467"/>
      <c r="AB174" s="468"/>
      <c r="AC174" s="469"/>
      <c r="AD174" s="414">
        <v>7.2</v>
      </c>
      <c r="AE174" s="50">
        <v>21</v>
      </c>
      <c r="AF174" s="305">
        <v>-94</v>
      </c>
      <c r="AG174" s="96">
        <v>15</v>
      </c>
      <c r="AH174" s="50">
        <v>20</v>
      </c>
      <c r="AI174" s="305">
        <v>-91</v>
      </c>
      <c r="AJ174" s="467"/>
      <c r="AK174" s="468"/>
      <c r="AL174" s="468"/>
      <c r="AM174" s="467"/>
      <c r="AN174" s="468"/>
      <c r="AO174" s="469"/>
      <c r="AP174" s="414">
        <v>7.2</v>
      </c>
      <c r="AQ174" s="50">
        <v>17</v>
      </c>
      <c r="AR174" s="305">
        <v>-93</v>
      </c>
      <c r="AS174" s="306">
        <v>15</v>
      </c>
      <c r="AT174" s="50">
        <v>16</v>
      </c>
      <c r="AU174" s="305">
        <v>-90</v>
      </c>
      <c r="AV174" s="467"/>
      <c r="AW174" s="468"/>
      <c r="AX174" s="468"/>
      <c r="AY174" s="467"/>
      <c r="AZ174" s="468"/>
      <c r="BA174" s="469"/>
      <c r="BB174" s="293">
        <v>6</v>
      </c>
      <c r="BC174" s="306"/>
      <c r="BD174" s="301"/>
      <c r="BE174" s="302">
        <v>12</v>
      </c>
      <c r="BF174" s="306"/>
      <c r="BG174" s="307"/>
      <c r="BH174" s="467"/>
      <c r="BI174" s="468"/>
      <c r="BJ174" s="468"/>
      <c r="BK174" s="467"/>
      <c r="BL174" s="468"/>
      <c r="BM174" s="469"/>
      <c r="BN174" s="414">
        <v>7.2</v>
      </c>
      <c r="BO174" s="50"/>
      <c r="BP174" s="305"/>
      <c r="BQ174" s="306">
        <v>15</v>
      </c>
      <c r="BR174" s="50"/>
      <c r="BS174" s="305"/>
      <c r="BT174" s="467"/>
      <c r="BU174" s="468"/>
      <c r="BV174" s="468"/>
      <c r="BW174" s="467"/>
      <c r="BX174" s="468"/>
      <c r="BY174" s="469"/>
      <c r="BZ174" s="467"/>
      <c r="CA174" s="468"/>
      <c r="CB174" s="468"/>
      <c r="CC174" s="467"/>
      <c r="CD174" s="468"/>
      <c r="CE174" s="469"/>
      <c r="CF174" s="467"/>
      <c r="CG174" s="468"/>
      <c r="CH174" s="468"/>
      <c r="CI174" s="467"/>
      <c r="CJ174" s="468"/>
      <c r="CK174" s="469"/>
    </row>
    <row r="175" spans="5:89" x14ac:dyDescent="0.2">
      <c r="E175" s="458" t="s">
        <v>496</v>
      </c>
      <c r="F175" s="296">
        <v>5.5</v>
      </c>
      <c r="G175" s="24">
        <v>21</v>
      </c>
      <c r="H175" s="2">
        <v>-94</v>
      </c>
      <c r="I175" s="470"/>
      <c r="J175" s="471"/>
      <c r="K175" s="471"/>
      <c r="L175" s="470"/>
      <c r="M175" s="471"/>
      <c r="N175" s="471"/>
      <c r="O175" s="470"/>
      <c r="P175" s="471"/>
      <c r="Q175" s="472"/>
      <c r="R175" s="297">
        <v>9</v>
      </c>
      <c r="S175" s="24">
        <v>17</v>
      </c>
      <c r="T175" s="31">
        <v>-93</v>
      </c>
      <c r="U175" s="470"/>
      <c r="V175" s="471"/>
      <c r="W175" s="471"/>
      <c r="X175" s="470"/>
      <c r="Y175" s="471"/>
      <c r="Z175" s="471"/>
      <c r="AA175" s="470"/>
      <c r="AB175" s="471"/>
      <c r="AC175" s="472"/>
      <c r="AD175" s="39">
        <v>14.4</v>
      </c>
      <c r="AE175" s="2">
        <v>20</v>
      </c>
      <c r="AF175" s="95">
        <v>-94</v>
      </c>
      <c r="AG175" s="24">
        <v>30</v>
      </c>
      <c r="AH175" s="2">
        <v>20</v>
      </c>
      <c r="AI175" s="95">
        <v>-90</v>
      </c>
      <c r="AJ175" s="470"/>
      <c r="AK175" s="471"/>
      <c r="AL175" s="471"/>
      <c r="AM175" s="470"/>
      <c r="AN175" s="471"/>
      <c r="AO175" s="472"/>
      <c r="AP175" s="39">
        <v>14.4</v>
      </c>
      <c r="AQ175" s="2">
        <v>17</v>
      </c>
      <c r="AR175" s="95">
        <v>-93</v>
      </c>
      <c r="AS175" s="24">
        <v>30</v>
      </c>
      <c r="AT175" s="2">
        <v>16</v>
      </c>
      <c r="AU175" s="95">
        <v>-89</v>
      </c>
      <c r="AV175" s="470"/>
      <c r="AW175" s="471"/>
      <c r="AX175" s="471"/>
      <c r="AY175" s="470"/>
      <c r="AZ175" s="471"/>
      <c r="BA175" s="472"/>
      <c r="BB175" s="297">
        <v>9</v>
      </c>
      <c r="BC175" s="24"/>
      <c r="BD175" s="31"/>
      <c r="BE175" s="30">
        <v>18</v>
      </c>
      <c r="BF175" s="24"/>
      <c r="BG175" s="308"/>
      <c r="BH175" s="470"/>
      <c r="BI175" s="471"/>
      <c r="BJ175" s="471"/>
      <c r="BK175" s="470"/>
      <c r="BL175" s="471"/>
      <c r="BM175" s="472"/>
      <c r="BN175" s="39">
        <v>14.4</v>
      </c>
      <c r="BO175" s="2"/>
      <c r="BP175" s="95"/>
      <c r="BQ175" s="24">
        <v>30</v>
      </c>
      <c r="BR175" s="2"/>
      <c r="BS175" s="95"/>
      <c r="BT175" s="470"/>
      <c r="BU175" s="471"/>
      <c r="BV175" s="471"/>
      <c r="BW175" s="470"/>
      <c r="BX175" s="471"/>
      <c r="BY175" s="472"/>
      <c r="BZ175" s="470"/>
      <c r="CA175" s="471"/>
      <c r="CB175" s="471"/>
      <c r="CC175" s="470"/>
      <c r="CD175" s="471"/>
      <c r="CE175" s="472"/>
      <c r="CF175" s="470"/>
      <c r="CG175" s="471"/>
      <c r="CH175" s="471"/>
      <c r="CI175" s="470"/>
      <c r="CJ175" s="471"/>
      <c r="CK175" s="472"/>
    </row>
    <row r="176" spans="5:89" x14ac:dyDescent="0.2">
      <c r="F176" s="297">
        <v>6</v>
      </c>
      <c r="G176" s="24">
        <v>21</v>
      </c>
      <c r="H176" s="2">
        <v>-94</v>
      </c>
      <c r="I176" s="470"/>
      <c r="J176" s="471"/>
      <c r="K176" s="471"/>
      <c r="L176" s="470"/>
      <c r="M176" s="471"/>
      <c r="N176" s="471"/>
      <c r="O176" s="470"/>
      <c r="P176" s="471"/>
      <c r="Q176" s="472"/>
      <c r="R176" s="297">
        <v>12</v>
      </c>
      <c r="S176" s="24">
        <v>17</v>
      </c>
      <c r="T176" s="31">
        <v>-93</v>
      </c>
      <c r="U176" s="470"/>
      <c r="V176" s="471"/>
      <c r="W176" s="471"/>
      <c r="X176" s="470"/>
      <c r="Y176" s="471"/>
      <c r="Z176" s="471"/>
      <c r="AA176" s="470"/>
      <c r="AB176" s="471"/>
      <c r="AC176" s="472"/>
      <c r="AD176" s="39">
        <v>21.7</v>
      </c>
      <c r="AE176" s="24">
        <v>20</v>
      </c>
      <c r="AF176" s="95">
        <v>-92</v>
      </c>
      <c r="AG176" s="24">
        <v>45</v>
      </c>
      <c r="AH176" s="24">
        <v>20</v>
      </c>
      <c r="AI176" s="95">
        <v>-90</v>
      </c>
      <c r="AJ176" s="470"/>
      <c r="AK176" s="471"/>
      <c r="AL176" s="471"/>
      <c r="AM176" s="470"/>
      <c r="AN176" s="471"/>
      <c r="AO176" s="472"/>
      <c r="AP176" s="39">
        <v>21.7</v>
      </c>
      <c r="AQ176" s="24">
        <v>17</v>
      </c>
      <c r="AR176" s="95">
        <v>-91</v>
      </c>
      <c r="AS176" s="24">
        <v>45</v>
      </c>
      <c r="AT176" s="2">
        <v>16</v>
      </c>
      <c r="AU176" s="95">
        <v>-86</v>
      </c>
      <c r="AV176" s="470"/>
      <c r="AW176" s="471"/>
      <c r="AX176" s="471"/>
      <c r="AY176" s="470"/>
      <c r="AZ176" s="471"/>
      <c r="BA176" s="472"/>
      <c r="BB176" s="297">
        <v>12</v>
      </c>
      <c r="BC176" s="24"/>
      <c r="BD176" s="31"/>
      <c r="BE176" s="39">
        <v>24</v>
      </c>
      <c r="BF176" s="24"/>
      <c r="BG176" s="308"/>
      <c r="BH176" s="470"/>
      <c r="BI176" s="471"/>
      <c r="BJ176" s="471"/>
      <c r="BK176" s="470"/>
      <c r="BL176" s="471"/>
      <c r="BM176" s="472"/>
      <c r="BN176" s="39">
        <v>21.7</v>
      </c>
      <c r="BO176" s="24"/>
      <c r="BP176" s="95"/>
      <c r="BQ176" s="24">
        <v>45</v>
      </c>
      <c r="BR176" s="2"/>
      <c r="BS176" s="95"/>
      <c r="BT176" s="470"/>
      <c r="BU176" s="471"/>
      <c r="BV176" s="471"/>
      <c r="BW176" s="470"/>
      <c r="BX176" s="471"/>
      <c r="BY176" s="472"/>
      <c r="BZ176" s="470"/>
      <c r="CA176" s="471"/>
      <c r="CB176" s="471"/>
      <c r="CC176" s="470"/>
      <c r="CD176" s="471"/>
      <c r="CE176" s="472"/>
      <c r="CF176" s="470"/>
      <c r="CG176" s="471"/>
      <c r="CH176" s="471"/>
      <c r="CI176" s="470"/>
      <c r="CJ176" s="471"/>
      <c r="CK176" s="472"/>
    </row>
    <row r="177" spans="5:89" x14ac:dyDescent="0.2">
      <c r="F177" s="297">
        <v>9</v>
      </c>
      <c r="G177" s="24">
        <v>21</v>
      </c>
      <c r="H177" s="2">
        <v>-94</v>
      </c>
      <c r="I177" s="470"/>
      <c r="J177" s="471"/>
      <c r="K177" s="471"/>
      <c r="L177" s="470"/>
      <c r="M177" s="471"/>
      <c r="N177" s="471"/>
      <c r="O177" s="470"/>
      <c r="P177" s="471"/>
      <c r="Q177" s="472"/>
      <c r="R177" s="297">
        <v>18</v>
      </c>
      <c r="S177" s="24">
        <v>17</v>
      </c>
      <c r="T177" s="31">
        <v>-91</v>
      </c>
      <c r="U177" s="470"/>
      <c r="V177" s="471"/>
      <c r="W177" s="471"/>
      <c r="X177" s="470"/>
      <c r="Y177" s="471"/>
      <c r="Z177" s="471"/>
      <c r="AA177" s="470"/>
      <c r="AB177" s="471"/>
      <c r="AC177" s="472"/>
      <c r="AD177" s="39">
        <v>28.9</v>
      </c>
      <c r="AE177" s="24">
        <v>20</v>
      </c>
      <c r="AF177" s="95">
        <v>-88</v>
      </c>
      <c r="AG177" s="24">
        <v>60</v>
      </c>
      <c r="AH177" s="24">
        <v>20</v>
      </c>
      <c r="AI177" s="95">
        <v>-89</v>
      </c>
      <c r="AJ177" s="470"/>
      <c r="AK177" s="471"/>
      <c r="AL177" s="471"/>
      <c r="AM177" s="470"/>
      <c r="AN177" s="471"/>
      <c r="AO177" s="472"/>
      <c r="AP177" s="39">
        <v>28.9</v>
      </c>
      <c r="AQ177" s="24">
        <v>17</v>
      </c>
      <c r="AR177" s="95">
        <v>-87</v>
      </c>
      <c r="AS177" s="24">
        <v>60</v>
      </c>
      <c r="AT177" s="2">
        <v>16</v>
      </c>
      <c r="AU177" s="95">
        <v>-83</v>
      </c>
      <c r="AV177" s="470"/>
      <c r="AW177" s="471"/>
      <c r="AX177" s="471"/>
      <c r="AY177" s="470"/>
      <c r="AZ177" s="471"/>
      <c r="BA177" s="472"/>
      <c r="BB177" s="297">
        <v>18</v>
      </c>
      <c r="BC177" s="24"/>
      <c r="BD177" s="31"/>
      <c r="BE177" s="39">
        <v>36</v>
      </c>
      <c r="BF177" s="24"/>
      <c r="BG177" s="308"/>
      <c r="BH177" s="470"/>
      <c r="BI177" s="471"/>
      <c r="BJ177" s="471"/>
      <c r="BK177" s="470"/>
      <c r="BL177" s="471"/>
      <c r="BM177" s="472"/>
      <c r="BN177" s="39">
        <v>28.9</v>
      </c>
      <c r="BO177" s="24"/>
      <c r="BP177" s="95"/>
      <c r="BQ177" s="24">
        <v>60</v>
      </c>
      <c r="BR177" s="2"/>
      <c r="BS177" s="95"/>
      <c r="BT177" s="470"/>
      <c r="BU177" s="471"/>
      <c r="BV177" s="471"/>
      <c r="BW177" s="470"/>
      <c r="BX177" s="471"/>
      <c r="BY177" s="472"/>
      <c r="BZ177" s="470"/>
      <c r="CA177" s="471"/>
      <c r="CB177" s="471"/>
      <c r="CC177" s="470"/>
      <c r="CD177" s="471"/>
      <c r="CE177" s="472"/>
      <c r="CF177" s="470"/>
      <c r="CG177" s="471"/>
      <c r="CH177" s="471"/>
      <c r="CI177" s="470"/>
      <c r="CJ177" s="471"/>
      <c r="CK177" s="472"/>
    </row>
    <row r="178" spans="5:89" x14ac:dyDescent="0.2">
      <c r="F178" s="297">
        <v>11</v>
      </c>
      <c r="G178" s="24">
        <v>21</v>
      </c>
      <c r="H178" s="2">
        <v>-90</v>
      </c>
      <c r="I178" s="470"/>
      <c r="J178" s="471"/>
      <c r="K178" s="471"/>
      <c r="L178" s="470"/>
      <c r="M178" s="471"/>
      <c r="N178" s="471"/>
      <c r="O178" s="470"/>
      <c r="P178" s="471"/>
      <c r="Q178" s="472"/>
      <c r="R178" s="297">
        <v>24</v>
      </c>
      <c r="S178" s="24">
        <v>17</v>
      </c>
      <c r="T178" s="31">
        <v>-88</v>
      </c>
      <c r="U178" s="470"/>
      <c r="V178" s="471"/>
      <c r="W178" s="471"/>
      <c r="X178" s="470"/>
      <c r="Y178" s="471"/>
      <c r="Z178" s="471"/>
      <c r="AA178" s="470"/>
      <c r="AB178" s="471"/>
      <c r="AC178" s="472"/>
      <c r="AD178" s="39">
        <v>43.3</v>
      </c>
      <c r="AE178" s="24">
        <v>19</v>
      </c>
      <c r="AF178" s="95">
        <v>-85</v>
      </c>
      <c r="AG178" s="24">
        <v>90</v>
      </c>
      <c r="AH178" s="24">
        <v>19</v>
      </c>
      <c r="AI178" s="95">
        <v>-85</v>
      </c>
      <c r="AJ178" s="470"/>
      <c r="AK178" s="471"/>
      <c r="AL178" s="471"/>
      <c r="AM178" s="470"/>
      <c r="AN178" s="471"/>
      <c r="AO178" s="472"/>
      <c r="AP178" s="39">
        <v>43.3</v>
      </c>
      <c r="AQ178" s="24">
        <v>17</v>
      </c>
      <c r="AR178" s="95">
        <v>-83</v>
      </c>
      <c r="AS178" s="24">
        <v>90</v>
      </c>
      <c r="AT178" s="2">
        <v>16</v>
      </c>
      <c r="AU178" s="95">
        <v>-80</v>
      </c>
      <c r="AV178" s="470"/>
      <c r="AW178" s="471"/>
      <c r="AX178" s="471"/>
      <c r="AY178" s="470"/>
      <c r="AZ178" s="471"/>
      <c r="BA178" s="472"/>
      <c r="BB178" s="297">
        <v>24</v>
      </c>
      <c r="BC178" s="24"/>
      <c r="BD178" s="31"/>
      <c r="BE178" s="39">
        <v>48</v>
      </c>
      <c r="BF178" s="24"/>
      <c r="BG178" s="308"/>
      <c r="BH178" s="470"/>
      <c r="BI178" s="471"/>
      <c r="BJ178" s="471"/>
      <c r="BK178" s="470"/>
      <c r="BL178" s="471"/>
      <c r="BM178" s="472"/>
      <c r="BN178" s="39">
        <v>43.3</v>
      </c>
      <c r="BO178" s="24"/>
      <c r="BP178" s="95"/>
      <c r="BQ178" s="24">
        <v>90</v>
      </c>
      <c r="BR178" s="2"/>
      <c r="BS178" s="95"/>
      <c r="BT178" s="470"/>
      <c r="BU178" s="471"/>
      <c r="BV178" s="471"/>
      <c r="BW178" s="470"/>
      <c r="BX178" s="471"/>
      <c r="BY178" s="472"/>
      <c r="BZ178" s="470"/>
      <c r="CA178" s="471"/>
      <c r="CB178" s="471"/>
      <c r="CC178" s="470"/>
      <c r="CD178" s="471"/>
      <c r="CE178" s="472"/>
      <c r="CF178" s="470"/>
      <c r="CG178" s="471"/>
      <c r="CH178" s="471"/>
      <c r="CI178" s="470"/>
      <c r="CJ178" s="471"/>
      <c r="CK178" s="472"/>
    </row>
    <row r="179" spans="5:89" x14ac:dyDescent="0.2">
      <c r="F179" s="297">
        <v>12</v>
      </c>
      <c r="G179" s="24">
        <v>21</v>
      </c>
      <c r="H179" s="2">
        <v>-94</v>
      </c>
      <c r="I179" s="470"/>
      <c r="J179" s="471"/>
      <c r="K179" s="471"/>
      <c r="L179" s="470"/>
      <c r="M179" s="471"/>
      <c r="N179" s="471"/>
      <c r="O179" s="470"/>
      <c r="P179" s="471"/>
      <c r="Q179" s="472"/>
      <c r="R179" s="297">
        <v>36</v>
      </c>
      <c r="S179" s="24">
        <v>17</v>
      </c>
      <c r="T179" s="31">
        <v>-85</v>
      </c>
      <c r="U179" s="470"/>
      <c r="V179" s="471"/>
      <c r="W179" s="471"/>
      <c r="X179" s="470"/>
      <c r="Y179" s="471"/>
      <c r="Z179" s="471"/>
      <c r="AA179" s="470"/>
      <c r="AB179" s="471"/>
      <c r="AC179" s="472"/>
      <c r="AD179" s="39">
        <v>57.8</v>
      </c>
      <c r="AE179" s="24">
        <v>18</v>
      </c>
      <c r="AF179" s="95">
        <v>-81</v>
      </c>
      <c r="AG179" s="24">
        <v>120</v>
      </c>
      <c r="AH179" s="24">
        <v>18</v>
      </c>
      <c r="AI179" s="95">
        <v>-81</v>
      </c>
      <c r="AJ179" s="470"/>
      <c r="AK179" s="471"/>
      <c r="AL179" s="471"/>
      <c r="AM179" s="470"/>
      <c r="AN179" s="471"/>
      <c r="AO179" s="472"/>
      <c r="AP179" s="39">
        <v>57.8</v>
      </c>
      <c r="AQ179" s="24">
        <v>15</v>
      </c>
      <c r="AR179" s="95">
        <v>-79</v>
      </c>
      <c r="AS179" s="24">
        <v>120</v>
      </c>
      <c r="AT179" s="2">
        <v>14</v>
      </c>
      <c r="AU179" s="95">
        <v>-77</v>
      </c>
      <c r="AV179" s="470"/>
      <c r="AW179" s="471"/>
      <c r="AX179" s="471"/>
      <c r="AY179" s="470"/>
      <c r="AZ179" s="471"/>
      <c r="BA179" s="472"/>
      <c r="BB179" s="297">
        <v>36</v>
      </c>
      <c r="BC179" s="24"/>
      <c r="BD179" s="31"/>
      <c r="BE179" s="39">
        <v>72</v>
      </c>
      <c r="BF179" s="24"/>
      <c r="BG179" s="308"/>
      <c r="BH179" s="470"/>
      <c r="BI179" s="471"/>
      <c r="BJ179" s="471"/>
      <c r="BK179" s="470"/>
      <c r="BL179" s="471"/>
      <c r="BM179" s="472"/>
      <c r="BN179" s="39">
        <v>57.8</v>
      </c>
      <c r="BO179" s="24"/>
      <c r="BP179" s="95"/>
      <c r="BQ179" s="24">
        <v>120</v>
      </c>
      <c r="BR179" s="2"/>
      <c r="BS179" s="95"/>
      <c r="BT179" s="470"/>
      <c r="BU179" s="471"/>
      <c r="BV179" s="471"/>
      <c r="BW179" s="470"/>
      <c r="BX179" s="471"/>
      <c r="BY179" s="472"/>
      <c r="BZ179" s="470"/>
      <c r="CA179" s="471"/>
      <c r="CB179" s="471"/>
      <c r="CC179" s="470"/>
      <c r="CD179" s="471"/>
      <c r="CE179" s="472"/>
      <c r="CF179" s="470"/>
      <c r="CG179" s="471"/>
      <c r="CH179" s="471"/>
      <c r="CI179" s="470"/>
      <c r="CJ179" s="471"/>
      <c r="CK179" s="472"/>
    </row>
    <row r="180" spans="5:89" x14ac:dyDescent="0.2">
      <c r="F180" s="297">
        <v>18</v>
      </c>
      <c r="G180" s="24">
        <v>21</v>
      </c>
      <c r="H180" s="2">
        <v>-93</v>
      </c>
      <c r="I180" s="470"/>
      <c r="J180" s="471"/>
      <c r="K180" s="471"/>
      <c r="L180" s="470"/>
      <c r="M180" s="471"/>
      <c r="N180" s="471"/>
      <c r="O180" s="470"/>
      <c r="P180" s="471"/>
      <c r="Q180" s="472"/>
      <c r="R180" s="297">
        <v>48</v>
      </c>
      <c r="S180" s="24">
        <v>17</v>
      </c>
      <c r="T180" s="31">
        <v>-81</v>
      </c>
      <c r="U180" s="470"/>
      <c r="V180" s="471"/>
      <c r="W180" s="471"/>
      <c r="X180" s="470"/>
      <c r="Y180" s="471"/>
      <c r="Z180" s="471"/>
      <c r="AA180" s="470"/>
      <c r="AB180" s="471"/>
      <c r="AC180" s="472"/>
      <c r="AD180" s="39">
        <v>65</v>
      </c>
      <c r="AE180" s="24">
        <v>17</v>
      </c>
      <c r="AF180" s="95">
        <v>-79</v>
      </c>
      <c r="AG180" s="24">
        <v>135</v>
      </c>
      <c r="AH180" s="24">
        <v>16</v>
      </c>
      <c r="AI180" s="95">
        <v>-78</v>
      </c>
      <c r="AJ180" s="470"/>
      <c r="AK180" s="471"/>
      <c r="AL180" s="471"/>
      <c r="AM180" s="470"/>
      <c r="AN180" s="471"/>
      <c r="AO180" s="472"/>
      <c r="AP180" s="39">
        <v>65</v>
      </c>
      <c r="AQ180" s="24">
        <v>13</v>
      </c>
      <c r="AR180" s="95">
        <v>-78</v>
      </c>
      <c r="AS180" s="24">
        <v>135</v>
      </c>
      <c r="AT180" s="2">
        <v>11</v>
      </c>
      <c r="AU180" s="95">
        <v>-75</v>
      </c>
      <c r="AV180" s="470"/>
      <c r="AW180" s="471"/>
      <c r="AX180" s="471"/>
      <c r="AY180" s="470"/>
      <c r="AZ180" s="471"/>
      <c r="BA180" s="472"/>
      <c r="BB180" s="297">
        <v>48</v>
      </c>
      <c r="BC180" s="24"/>
      <c r="BD180" s="31"/>
      <c r="BE180" s="39">
        <v>96</v>
      </c>
      <c r="BF180" s="24"/>
      <c r="BG180" s="308"/>
      <c r="BH180" s="470"/>
      <c r="BI180" s="471"/>
      <c r="BJ180" s="471"/>
      <c r="BK180" s="470"/>
      <c r="BL180" s="471"/>
      <c r="BM180" s="472"/>
      <c r="BN180" s="39">
        <v>65</v>
      </c>
      <c r="BO180" s="24"/>
      <c r="BP180" s="95"/>
      <c r="BQ180" s="24">
        <v>135</v>
      </c>
      <c r="BR180" s="2"/>
      <c r="BS180" s="95"/>
      <c r="BT180" s="470"/>
      <c r="BU180" s="471"/>
      <c r="BV180" s="471"/>
      <c r="BW180" s="470"/>
      <c r="BX180" s="471"/>
      <c r="BY180" s="472"/>
      <c r="BZ180" s="470"/>
      <c r="CA180" s="471"/>
      <c r="CB180" s="471"/>
      <c r="CC180" s="470"/>
      <c r="CD180" s="471"/>
      <c r="CE180" s="472"/>
      <c r="CF180" s="470"/>
      <c r="CG180" s="471"/>
      <c r="CH180" s="471"/>
      <c r="CI180" s="470"/>
      <c r="CJ180" s="471"/>
      <c r="CK180" s="472"/>
    </row>
    <row r="181" spans="5:89" x14ac:dyDescent="0.2">
      <c r="F181" s="297">
        <v>24</v>
      </c>
      <c r="G181" s="24">
        <v>21</v>
      </c>
      <c r="H181" s="2">
        <v>-89</v>
      </c>
      <c r="I181" s="470"/>
      <c r="J181" s="471"/>
      <c r="K181" s="471"/>
      <c r="L181" s="470"/>
      <c r="M181" s="471"/>
      <c r="N181" s="471"/>
      <c r="O181" s="470"/>
      <c r="P181" s="471"/>
      <c r="Q181" s="472"/>
      <c r="R181" s="297">
        <v>54</v>
      </c>
      <c r="S181" s="24">
        <v>14</v>
      </c>
      <c r="T181" s="31">
        <v>-79</v>
      </c>
      <c r="U181" s="470"/>
      <c r="V181" s="471"/>
      <c r="W181" s="471"/>
      <c r="X181" s="470"/>
      <c r="Y181" s="471"/>
      <c r="Z181" s="471"/>
      <c r="AA181" s="470"/>
      <c r="AB181" s="471"/>
      <c r="AC181" s="472"/>
      <c r="AD181" s="39">
        <v>72.2</v>
      </c>
      <c r="AE181" s="24">
        <v>16</v>
      </c>
      <c r="AF181" s="95">
        <v>-78</v>
      </c>
      <c r="AG181" s="21">
        <v>150</v>
      </c>
      <c r="AH181" s="24">
        <v>14</v>
      </c>
      <c r="AI181" s="95">
        <v>-76</v>
      </c>
      <c r="AJ181" s="470"/>
      <c r="AK181" s="471"/>
      <c r="AL181" s="471"/>
      <c r="AM181" s="470"/>
      <c r="AN181" s="471"/>
      <c r="AO181" s="472"/>
      <c r="AP181" s="39">
        <v>72.2</v>
      </c>
      <c r="AQ181" s="24">
        <v>12</v>
      </c>
      <c r="AR181" s="95">
        <v>-77</v>
      </c>
      <c r="AS181" s="21">
        <v>150</v>
      </c>
      <c r="AT181" s="2">
        <v>10</v>
      </c>
      <c r="AU181" s="95">
        <v>-73</v>
      </c>
      <c r="AV181" s="470"/>
      <c r="AW181" s="471"/>
      <c r="AX181" s="471"/>
      <c r="AY181" s="470"/>
      <c r="AZ181" s="471"/>
      <c r="BA181" s="472"/>
      <c r="BB181" s="297">
        <v>54</v>
      </c>
      <c r="BC181" s="24"/>
      <c r="BD181" s="31"/>
      <c r="BE181" s="39">
        <v>108</v>
      </c>
      <c r="BF181" s="24"/>
      <c r="BG181" s="308"/>
      <c r="BH181" s="470"/>
      <c r="BI181" s="471"/>
      <c r="BJ181" s="471"/>
      <c r="BK181" s="470"/>
      <c r="BL181" s="471"/>
      <c r="BM181" s="472"/>
      <c r="BN181" s="39">
        <v>72.2</v>
      </c>
      <c r="BO181" s="24"/>
      <c r="BP181" s="95"/>
      <c r="BQ181" s="21">
        <v>150</v>
      </c>
      <c r="BR181" s="2"/>
      <c r="BS181" s="95"/>
      <c r="BT181" s="470"/>
      <c r="BU181" s="471"/>
      <c r="BV181" s="471"/>
      <c r="BW181" s="470"/>
      <c r="BX181" s="471"/>
      <c r="BY181" s="472"/>
      <c r="BZ181" s="470"/>
      <c r="CA181" s="471"/>
      <c r="CB181" s="471"/>
      <c r="CC181" s="470"/>
      <c r="CD181" s="471"/>
      <c r="CE181" s="472"/>
      <c r="CF181" s="470"/>
      <c r="CG181" s="471"/>
      <c r="CH181" s="471"/>
      <c r="CI181" s="470"/>
      <c r="CJ181" s="471"/>
      <c r="CK181" s="472"/>
    </row>
    <row r="182" spans="5:89" x14ac:dyDescent="0.2">
      <c r="F182" s="297">
        <v>36</v>
      </c>
      <c r="G182" s="24">
        <v>21</v>
      </c>
      <c r="H182" s="2">
        <v>-86</v>
      </c>
      <c r="I182" s="470"/>
      <c r="J182" s="471"/>
      <c r="K182" s="471"/>
      <c r="L182" s="470"/>
      <c r="M182" s="471"/>
      <c r="N182" s="471"/>
      <c r="O182" s="470"/>
      <c r="P182" s="471"/>
      <c r="Q182" s="472"/>
      <c r="R182" s="52"/>
      <c r="S182" s="2"/>
      <c r="T182" s="2"/>
      <c r="U182" s="470"/>
      <c r="V182" s="471"/>
      <c r="W182" s="471"/>
      <c r="X182" s="470"/>
      <c r="Y182" s="471"/>
      <c r="Z182" s="471"/>
      <c r="AA182" s="470"/>
      <c r="AB182" s="471"/>
      <c r="AC182" s="472"/>
      <c r="AD182" s="52"/>
      <c r="AE182" s="2"/>
      <c r="AF182" s="10"/>
      <c r="AG182" s="2"/>
      <c r="AH182" s="2"/>
      <c r="AI182" s="53"/>
      <c r="AJ182" s="470"/>
      <c r="AK182" s="471"/>
      <c r="AL182" s="471"/>
      <c r="AM182" s="470"/>
      <c r="AN182" s="471"/>
      <c r="AO182" s="472"/>
      <c r="AP182" s="39"/>
      <c r="AQ182" s="2"/>
      <c r="AR182" s="10"/>
      <c r="AS182" s="2"/>
      <c r="AT182" s="2"/>
      <c r="AU182" s="53"/>
      <c r="AV182" s="470"/>
      <c r="AW182" s="471"/>
      <c r="AX182" s="471"/>
      <c r="AY182" s="470"/>
      <c r="AZ182" s="471"/>
      <c r="BA182" s="472"/>
      <c r="BB182" s="52"/>
      <c r="BC182" s="2"/>
      <c r="BD182" s="2"/>
      <c r="BE182" s="39"/>
      <c r="BF182" s="24"/>
      <c r="BG182" s="53"/>
      <c r="BH182" s="470"/>
      <c r="BI182" s="471"/>
      <c r="BJ182" s="471"/>
      <c r="BK182" s="470"/>
      <c r="BL182" s="471"/>
      <c r="BM182" s="472"/>
      <c r="BN182" s="52"/>
      <c r="BO182" s="2"/>
      <c r="BP182" s="10"/>
      <c r="BQ182" s="2"/>
      <c r="BR182" s="2"/>
      <c r="BS182" s="53"/>
      <c r="BT182" s="470"/>
      <c r="BU182" s="471"/>
      <c r="BV182" s="471"/>
      <c r="BW182" s="470"/>
      <c r="BX182" s="471"/>
      <c r="BY182" s="472"/>
      <c r="BZ182" s="470"/>
      <c r="CA182" s="471"/>
      <c r="CB182" s="471"/>
      <c r="CC182" s="470"/>
      <c r="CD182" s="471"/>
      <c r="CE182" s="472"/>
      <c r="CF182" s="470"/>
      <c r="CG182" s="471"/>
      <c r="CH182" s="471"/>
      <c r="CI182" s="470"/>
      <c r="CJ182" s="471"/>
      <c r="CK182" s="472"/>
    </row>
    <row r="183" spans="5:89" x14ac:dyDescent="0.2">
      <c r="F183" s="297">
        <v>48</v>
      </c>
      <c r="G183" s="24">
        <v>19</v>
      </c>
      <c r="H183" s="2">
        <v>-82</v>
      </c>
      <c r="I183" s="470"/>
      <c r="J183" s="471"/>
      <c r="K183" s="471"/>
      <c r="L183" s="470"/>
      <c r="M183" s="471"/>
      <c r="N183" s="471"/>
      <c r="O183" s="470"/>
      <c r="P183" s="471"/>
      <c r="Q183" s="472"/>
      <c r="R183" s="52"/>
      <c r="S183" s="31"/>
      <c r="T183" s="31"/>
      <c r="U183" s="470"/>
      <c r="V183" s="471"/>
      <c r="W183" s="471"/>
      <c r="X183" s="470"/>
      <c r="Y183" s="471"/>
      <c r="Z183" s="471"/>
      <c r="AA183" s="470"/>
      <c r="AB183" s="471"/>
      <c r="AC183" s="472"/>
      <c r="AD183" s="52"/>
      <c r="AE183" s="2"/>
      <c r="AF183" s="10"/>
      <c r="AG183" s="2"/>
      <c r="AH183" s="2"/>
      <c r="AI183" s="53"/>
      <c r="AJ183" s="470"/>
      <c r="AK183" s="471"/>
      <c r="AL183" s="471"/>
      <c r="AM183" s="470"/>
      <c r="AN183" s="471"/>
      <c r="AO183" s="472"/>
      <c r="AP183" s="52"/>
      <c r="AQ183" s="2"/>
      <c r="AR183" s="10"/>
      <c r="AS183" s="2"/>
      <c r="AT183" s="2"/>
      <c r="AU183" s="53"/>
      <c r="AV183" s="470"/>
      <c r="AW183" s="471"/>
      <c r="AX183" s="471"/>
      <c r="AY183" s="470"/>
      <c r="AZ183" s="471"/>
      <c r="BA183" s="472"/>
      <c r="BB183" s="52"/>
      <c r="BC183" s="31"/>
      <c r="BD183" s="31"/>
      <c r="BE183" s="39"/>
      <c r="BF183" s="2"/>
      <c r="BG183" s="53"/>
      <c r="BH183" s="470"/>
      <c r="BI183" s="471"/>
      <c r="BJ183" s="471"/>
      <c r="BK183" s="470"/>
      <c r="BL183" s="471"/>
      <c r="BM183" s="472"/>
      <c r="BN183" s="52"/>
      <c r="BO183" s="2"/>
      <c r="BP183" s="10"/>
      <c r="BQ183" s="2"/>
      <c r="BR183" s="2"/>
      <c r="BS183" s="53"/>
      <c r="BT183" s="470"/>
      <c r="BU183" s="471"/>
      <c r="BV183" s="471"/>
      <c r="BW183" s="470"/>
      <c r="BX183" s="471"/>
      <c r="BY183" s="472"/>
      <c r="BZ183" s="470"/>
      <c r="CA183" s="471"/>
      <c r="CB183" s="471"/>
      <c r="CC183" s="470"/>
      <c r="CD183" s="471"/>
      <c r="CE183" s="472"/>
      <c r="CF183" s="470"/>
      <c r="CG183" s="471"/>
      <c r="CH183" s="471"/>
      <c r="CI183" s="470"/>
      <c r="CJ183" s="471"/>
      <c r="CK183" s="472"/>
    </row>
    <row r="184" spans="5:89" ht="10.5" thickBot="1" x14ac:dyDescent="0.25">
      <c r="F184" s="298">
        <v>54</v>
      </c>
      <c r="G184" s="399">
        <v>17</v>
      </c>
      <c r="H184" s="55">
        <v>-81</v>
      </c>
      <c r="I184" s="473"/>
      <c r="J184" s="474"/>
      <c r="K184" s="474"/>
      <c r="L184" s="473"/>
      <c r="M184" s="474"/>
      <c r="N184" s="474"/>
      <c r="O184" s="473"/>
      <c r="P184" s="474"/>
      <c r="Q184" s="475"/>
      <c r="R184" s="54"/>
      <c r="S184" s="303"/>
      <c r="T184" s="303"/>
      <c r="U184" s="473"/>
      <c r="V184" s="474"/>
      <c r="W184" s="474"/>
      <c r="X184" s="473"/>
      <c r="Y184" s="474"/>
      <c r="Z184" s="474"/>
      <c r="AA184" s="473"/>
      <c r="AB184" s="474"/>
      <c r="AC184" s="475"/>
      <c r="AD184" s="54"/>
      <c r="AE184" s="55"/>
      <c r="AF184" s="309"/>
      <c r="AG184" s="55"/>
      <c r="AH184" s="55"/>
      <c r="AI184" s="56"/>
      <c r="AJ184" s="473"/>
      <c r="AK184" s="474"/>
      <c r="AL184" s="474"/>
      <c r="AM184" s="473"/>
      <c r="AN184" s="474"/>
      <c r="AO184" s="475"/>
      <c r="AP184" s="54"/>
      <c r="AQ184" s="55"/>
      <c r="AR184" s="309"/>
      <c r="AS184" s="55"/>
      <c r="AT184" s="55"/>
      <c r="AU184" s="56"/>
      <c r="AV184" s="473"/>
      <c r="AW184" s="474"/>
      <c r="AX184" s="474"/>
      <c r="AY184" s="473"/>
      <c r="AZ184" s="474"/>
      <c r="BA184" s="475"/>
      <c r="BB184" s="54"/>
      <c r="BC184" s="303"/>
      <c r="BD184" s="303"/>
      <c r="BE184" s="304"/>
      <c r="BF184" s="55"/>
      <c r="BG184" s="56"/>
      <c r="BH184" s="473"/>
      <c r="BI184" s="474"/>
      <c r="BJ184" s="474"/>
      <c r="BK184" s="473"/>
      <c r="BL184" s="474"/>
      <c r="BM184" s="475"/>
      <c r="BN184" s="54"/>
      <c r="BO184" s="55"/>
      <c r="BP184" s="309"/>
      <c r="BQ184" s="55"/>
      <c r="BR184" s="55"/>
      <c r="BS184" s="56"/>
      <c r="BT184" s="473"/>
      <c r="BU184" s="474"/>
      <c r="BV184" s="474"/>
      <c r="BW184" s="473"/>
      <c r="BX184" s="474"/>
      <c r="BY184" s="475"/>
      <c r="BZ184" s="473"/>
      <c r="CA184" s="474"/>
      <c r="CB184" s="474"/>
      <c r="CC184" s="473"/>
      <c r="CD184" s="474"/>
      <c r="CE184" s="475"/>
      <c r="CF184" s="473"/>
      <c r="CG184" s="474"/>
      <c r="CH184" s="474"/>
      <c r="CI184" s="473"/>
      <c r="CJ184" s="474"/>
      <c r="CK184" s="475"/>
    </row>
    <row r="186" spans="5:89" ht="10.5" x14ac:dyDescent="0.25">
      <c r="F186" s="26" t="s">
        <v>0</v>
      </c>
      <c r="G186" s="26"/>
      <c r="H186" s="449"/>
      <c r="I186" s="26"/>
      <c r="J186" s="26"/>
      <c r="K186" s="26"/>
      <c r="L186" s="26"/>
      <c r="M186" s="26"/>
      <c r="N186" s="26"/>
      <c r="O186" s="26"/>
      <c r="P186" s="26"/>
      <c r="Q186" s="26"/>
      <c r="R186" s="449" t="s">
        <v>1</v>
      </c>
      <c r="S186" s="25"/>
      <c r="T186" s="452"/>
      <c r="U186" s="25"/>
      <c r="AD186" s="450" t="s">
        <v>410</v>
      </c>
      <c r="AE186" s="450"/>
      <c r="AF186" s="451"/>
      <c r="AG186" s="450"/>
      <c r="AP186" s="450" t="s">
        <v>411</v>
      </c>
      <c r="AQ186" s="450"/>
      <c r="AR186" s="451"/>
      <c r="AS186" s="450"/>
      <c r="BB186" s="44" t="s">
        <v>223</v>
      </c>
      <c r="BD186" s="155"/>
      <c r="BN186" s="44" t="s">
        <v>351</v>
      </c>
      <c r="BZ186" s="44" t="s">
        <v>515</v>
      </c>
      <c r="CF186" s="2"/>
      <c r="CG186" s="2"/>
      <c r="CH186" s="2"/>
      <c r="CI186" s="2"/>
      <c r="CJ186" s="2"/>
      <c r="CK186" s="2"/>
    </row>
    <row r="187" spans="5:89" ht="11" thickBot="1" x14ac:dyDescent="0.3">
      <c r="F187" s="26" t="s">
        <v>113</v>
      </c>
      <c r="G187" s="26" t="s">
        <v>108</v>
      </c>
      <c r="H187" s="26" t="s">
        <v>109</v>
      </c>
      <c r="I187" s="26" t="s">
        <v>110</v>
      </c>
      <c r="J187" s="26" t="s">
        <v>111</v>
      </c>
      <c r="K187" s="26" t="s">
        <v>112</v>
      </c>
      <c r="L187" s="26"/>
      <c r="M187" s="26"/>
      <c r="N187" s="26"/>
      <c r="O187" s="26"/>
      <c r="P187" s="26"/>
      <c r="Q187" s="26"/>
      <c r="R187" s="26" t="s">
        <v>113</v>
      </c>
      <c r="S187" s="159" t="s">
        <v>108</v>
      </c>
      <c r="T187" s="159" t="s">
        <v>109</v>
      </c>
      <c r="U187" s="26" t="s">
        <v>110</v>
      </c>
      <c r="V187" s="26" t="s">
        <v>111</v>
      </c>
      <c r="W187" s="26" t="s">
        <v>112</v>
      </c>
      <c r="X187" s="26"/>
      <c r="Y187" s="26"/>
      <c r="Z187" s="26"/>
      <c r="AA187" s="26"/>
      <c r="AB187" s="26"/>
      <c r="AC187" s="26"/>
      <c r="AD187" s="159" t="s">
        <v>88</v>
      </c>
      <c r="AE187" s="159" t="s">
        <v>83</v>
      </c>
      <c r="AF187" s="159" t="s">
        <v>84</v>
      </c>
      <c r="AG187" s="159" t="s">
        <v>87</v>
      </c>
      <c r="AH187" s="159" t="s">
        <v>85</v>
      </c>
      <c r="AI187" s="159" t="s">
        <v>86</v>
      </c>
      <c r="AJ187" s="26"/>
      <c r="AK187" s="26"/>
      <c r="AL187" s="26"/>
      <c r="AM187" s="26"/>
      <c r="AN187" s="26"/>
      <c r="AO187" s="26"/>
      <c r="AP187" s="159" t="s">
        <v>88</v>
      </c>
      <c r="AQ187" s="159" t="s">
        <v>83</v>
      </c>
      <c r="AR187" s="159" t="s">
        <v>84</v>
      </c>
      <c r="AS187" s="159" t="s">
        <v>87</v>
      </c>
      <c r="AT187" s="159" t="s">
        <v>85</v>
      </c>
      <c r="AU187" s="159" t="s">
        <v>86</v>
      </c>
      <c r="AV187" s="26"/>
      <c r="AW187" s="26"/>
      <c r="AX187" s="26"/>
      <c r="AY187" s="26"/>
      <c r="AZ187" s="26"/>
      <c r="BA187" s="26"/>
      <c r="BB187" s="102" t="s">
        <v>88</v>
      </c>
      <c r="BC187" s="102" t="s">
        <v>83</v>
      </c>
      <c r="BD187" s="102" t="s">
        <v>84</v>
      </c>
      <c r="BE187" s="102" t="s">
        <v>87</v>
      </c>
      <c r="BF187" s="102" t="s">
        <v>85</v>
      </c>
      <c r="BG187" s="102" t="s">
        <v>86</v>
      </c>
      <c r="BH187" s="26"/>
      <c r="BI187" s="26"/>
      <c r="BJ187" s="26"/>
      <c r="BK187" s="26"/>
      <c r="BL187" s="26"/>
      <c r="BM187" s="26"/>
      <c r="BN187" s="102" t="s">
        <v>88</v>
      </c>
      <c r="BO187" s="102" t="s">
        <v>83</v>
      </c>
      <c r="BP187" s="102" t="s">
        <v>84</v>
      </c>
      <c r="BQ187" s="102" t="s">
        <v>87</v>
      </c>
      <c r="BR187" s="102" t="s">
        <v>85</v>
      </c>
      <c r="BS187" s="102" t="s">
        <v>86</v>
      </c>
      <c r="BT187" s="26"/>
      <c r="BU187" s="26"/>
      <c r="BV187" s="26"/>
      <c r="BW187" s="26"/>
      <c r="BX187" s="26"/>
      <c r="BY187" s="26"/>
      <c r="BZ187" s="102" t="s">
        <v>88</v>
      </c>
      <c r="CA187" s="102" t="s">
        <v>83</v>
      </c>
      <c r="CB187" s="102" t="s">
        <v>84</v>
      </c>
      <c r="CC187" s="102" t="s">
        <v>87</v>
      </c>
      <c r="CD187" s="102" t="s">
        <v>85</v>
      </c>
      <c r="CE187" s="102" t="s">
        <v>86</v>
      </c>
      <c r="CF187" s="102" t="s">
        <v>512</v>
      </c>
      <c r="CG187" s="102" t="s">
        <v>514</v>
      </c>
      <c r="CH187" s="102" t="s">
        <v>513</v>
      </c>
      <c r="CI187" s="102" t="s">
        <v>516</v>
      </c>
      <c r="CJ187" s="102" t="s">
        <v>517</v>
      </c>
      <c r="CK187" s="102" t="s">
        <v>518</v>
      </c>
    </row>
    <row r="188" spans="5:89" x14ac:dyDescent="0.2">
      <c r="E188" s="1" t="s">
        <v>500</v>
      </c>
      <c r="F188" s="293">
        <v>1</v>
      </c>
      <c r="G188" s="306">
        <v>12</v>
      </c>
      <c r="H188" s="50">
        <v>-97</v>
      </c>
      <c r="I188" s="467"/>
      <c r="J188" s="468"/>
      <c r="K188" s="468"/>
      <c r="L188" s="467"/>
      <c r="M188" s="468"/>
      <c r="N188" s="468"/>
      <c r="O188" s="467"/>
      <c r="P188" s="468"/>
      <c r="Q188" s="469"/>
      <c r="R188" s="293">
        <v>6</v>
      </c>
      <c r="S188" s="306">
        <v>15</v>
      </c>
      <c r="T188" s="301">
        <v>-94</v>
      </c>
      <c r="U188" s="467"/>
      <c r="V188" s="468"/>
      <c r="W188" s="468"/>
      <c r="X188" s="467"/>
      <c r="Y188" s="468"/>
      <c r="Z188" s="468"/>
      <c r="AA188" s="467"/>
      <c r="AB188" s="468"/>
      <c r="AC188" s="469"/>
      <c r="AD188" s="414">
        <v>7.2</v>
      </c>
      <c r="AE188" s="50">
        <v>14</v>
      </c>
      <c r="AF188" s="305">
        <v>-94</v>
      </c>
      <c r="AG188" s="96">
        <v>15</v>
      </c>
      <c r="AH188" s="50">
        <v>12</v>
      </c>
      <c r="AI188" s="305">
        <v>-91</v>
      </c>
      <c r="AJ188" s="467"/>
      <c r="AK188" s="468"/>
      <c r="AL188" s="468"/>
      <c r="AM188" s="467"/>
      <c r="AN188" s="468"/>
      <c r="AO188" s="469"/>
      <c r="AP188" s="414">
        <v>7.2</v>
      </c>
      <c r="AQ188" s="50">
        <v>15</v>
      </c>
      <c r="AR188" s="305">
        <v>-93</v>
      </c>
      <c r="AS188" s="306">
        <v>15</v>
      </c>
      <c r="AT188" s="50">
        <v>14</v>
      </c>
      <c r="AU188" s="305">
        <v>-91</v>
      </c>
      <c r="AV188" s="467"/>
      <c r="AW188" s="468"/>
      <c r="AX188" s="468"/>
      <c r="AY188" s="467"/>
      <c r="AZ188" s="468"/>
      <c r="BA188" s="469"/>
      <c r="BB188" s="293">
        <v>6</v>
      </c>
      <c r="BC188" s="306"/>
      <c r="BD188" s="301"/>
      <c r="BE188" s="302">
        <v>12</v>
      </c>
      <c r="BF188" s="306"/>
      <c r="BG188" s="307"/>
      <c r="BH188" s="467"/>
      <c r="BI188" s="468"/>
      <c r="BJ188" s="468"/>
      <c r="BK188" s="467"/>
      <c r="BL188" s="468"/>
      <c r="BM188" s="469"/>
      <c r="BN188" s="414">
        <v>7.2</v>
      </c>
      <c r="BO188" s="50"/>
      <c r="BP188" s="305"/>
      <c r="BQ188" s="306">
        <v>15</v>
      </c>
      <c r="BR188" s="50"/>
      <c r="BS188" s="305"/>
      <c r="BT188" s="467"/>
      <c r="BU188" s="468"/>
      <c r="BV188" s="468"/>
      <c r="BW188" s="467"/>
      <c r="BX188" s="468"/>
      <c r="BY188" s="469"/>
      <c r="BZ188" s="467"/>
      <c r="CA188" s="468"/>
      <c r="CB188" s="468"/>
      <c r="CC188" s="467"/>
      <c r="CD188" s="468"/>
      <c r="CE188" s="469"/>
      <c r="CF188" s="467"/>
      <c r="CG188" s="468"/>
      <c r="CH188" s="468"/>
      <c r="CI188" s="467"/>
      <c r="CJ188" s="468"/>
      <c r="CK188" s="469"/>
    </row>
    <row r="189" spans="5:89" x14ac:dyDescent="0.2">
      <c r="E189" s="458" t="s">
        <v>499</v>
      </c>
      <c r="F189" s="296">
        <v>5.5</v>
      </c>
      <c r="G189" s="24">
        <v>12</v>
      </c>
      <c r="H189" s="2">
        <v>-97</v>
      </c>
      <c r="I189" s="470"/>
      <c r="J189" s="471"/>
      <c r="K189" s="471"/>
      <c r="L189" s="470"/>
      <c r="M189" s="471"/>
      <c r="N189" s="471"/>
      <c r="O189" s="470"/>
      <c r="P189" s="471"/>
      <c r="Q189" s="472"/>
      <c r="R189" s="297">
        <v>9</v>
      </c>
      <c r="S189" s="24">
        <v>15</v>
      </c>
      <c r="T189" s="31">
        <v>-93</v>
      </c>
      <c r="U189" s="470"/>
      <c r="V189" s="471"/>
      <c r="W189" s="471"/>
      <c r="X189" s="470"/>
      <c r="Y189" s="471"/>
      <c r="Z189" s="471"/>
      <c r="AA189" s="470"/>
      <c r="AB189" s="471"/>
      <c r="AC189" s="472"/>
      <c r="AD189" s="39">
        <v>14.4</v>
      </c>
      <c r="AE189" s="2">
        <v>14</v>
      </c>
      <c r="AF189" s="95">
        <v>-93</v>
      </c>
      <c r="AG189" s="24">
        <v>30</v>
      </c>
      <c r="AH189" s="2">
        <v>12</v>
      </c>
      <c r="AI189" s="95">
        <v>-91</v>
      </c>
      <c r="AJ189" s="470"/>
      <c r="AK189" s="471"/>
      <c r="AL189" s="471"/>
      <c r="AM189" s="470"/>
      <c r="AN189" s="471"/>
      <c r="AO189" s="472"/>
      <c r="AP189" s="39">
        <v>14.4</v>
      </c>
      <c r="AQ189" s="2">
        <v>15</v>
      </c>
      <c r="AR189" s="95">
        <v>-91</v>
      </c>
      <c r="AS189" s="24">
        <v>30</v>
      </c>
      <c r="AT189" s="2">
        <v>14</v>
      </c>
      <c r="AU189" s="95">
        <v>-89</v>
      </c>
      <c r="AV189" s="470"/>
      <c r="AW189" s="471"/>
      <c r="AX189" s="471"/>
      <c r="AY189" s="470"/>
      <c r="AZ189" s="471"/>
      <c r="BA189" s="472"/>
      <c r="BB189" s="297">
        <v>9</v>
      </c>
      <c r="BC189" s="24"/>
      <c r="BD189" s="31"/>
      <c r="BE189" s="30">
        <v>18</v>
      </c>
      <c r="BF189" s="24"/>
      <c r="BG189" s="308"/>
      <c r="BH189" s="470"/>
      <c r="BI189" s="471"/>
      <c r="BJ189" s="471"/>
      <c r="BK189" s="470"/>
      <c r="BL189" s="471"/>
      <c r="BM189" s="472"/>
      <c r="BN189" s="39">
        <v>14.4</v>
      </c>
      <c r="BO189" s="2"/>
      <c r="BP189" s="95"/>
      <c r="BQ189" s="24">
        <v>30</v>
      </c>
      <c r="BR189" s="2"/>
      <c r="BS189" s="95"/>
      <c r="BT189" s="470"/>
      <c r="BU189" s="471"/>
      <c r="BV189" s="471"/>
      <c r="BW189" s="470"/>
      <c r="BX189" s="471"/>
      <c r="BY189" s="472"/>
      <c r="BZ189" s="470"/>
      <c r="CA189" s="471"/>
      <c r="CB189" s="471"/>
      <c r="CC189" s="470"/>
      <c r="CD189" s="471"/>
      <c r="CE189" s="472"/>
      <c r="CF189" s="470"/>
      <c r="CG189" s="471"/>
      <c r="CH189" s="471"/>
      <c r="CI189" s="470"/>
      <c r="CJ189" s="471"/>
      <c r="CK189" s="472"/>
    </row>
    <row r="190" spans="5:89" x14ac:dyDescent="0.2">
      <c r="F190" s="297">
        <v>6</v>
      </c>
      <c r="G190" s="24">
        <v>15</v>
      </c>
      <c r="H190" s="2">
        <v>-95</v>
      </c>
      <c r="I190" s="470"/>
      <c r="J190" s="471"/>
      <c r="K190" s="471"/>
      <c r="L190" s="470"/>
      <c r="M190" s="471"/>
      <c r="N190" s="471"/>
      <c r="O190" s="470"/>
      <c r="P190" s="471"/>
      <c r="Q190" s="472"/>
      <c r="R190" s="297">
        <v>12</v>
      </c>
      <c r="S190" s="24">
        <v>15</v>
      </c>
      <c r="T190" s="31">
        <v>-92</v>
      </c>
      <c r="U190" s="470"/>
      <c r="V190" s="471"/>
      <c r="W190" s="471"/>
      <c r="X190" s="470"/>
      <c r="Y190" s="471"/>
      <c r="Z190" s="471"/>
      <c r="AA190" s="470"/>
      <c r="AB190" s="471"/>
      <c r="AC190" s="472"/>
      <c r="AD190" s="39">
        <v>21.7</v>
      </c>
      <c r="AE190" s="24">
        <v>14</v>
      </c>
      <c r="AF190" s="95">
        <v>-91</v>
      </c>
      <c r="AG190" s="24">
        <v>45</v>
      </c>
      <c r="AH190" s="24">
        <v>12</v>
      </c>
      <c r="AI190" s="95">
        <v>-88</v>
      </c>
      <c r="AJ190" s="470"/>
      <c r="AK190" s="471"/>
      <c r="AL190" s="471"/>
      <c r="AM190" s="470"/>
      <c r="AN190" s="471"/>
      <c r="AO190" s="472"/>
      <c r="AP190" s="39">
        <v>21.7</v>
      </c>
      <c r="AQ190" s="24">
        <v>15</v>
      </c>
      <c r="AR190" s="95">
        <v>-89</v>
      </c>
      <c r="AS190" s="24">
        <v>45</v>
      </c>
      <c r="AT190" s="2">
        <v>14</v>
      </c>
      <c r="AU190" s="95">
        <v>-86</v>
      </c>
      <c r="AV190" s="470"/>
      <c r="AW190" s="471"/>
      <c r="AX190" s="471"/>
      <c r="AY190" s="470"/>
      <c r="AZ190" s="471"/>
      <c r="BA190" s="472"/>
      <c r="BB190" s="297">
        <v>12</v>
      </c>
      <c r="BC190" s="24"/>
      <c r="BD190" s="31"/>
      <c r="BE190" s="39">
        <v>24</v>
      </c>
      <c r="BF190" s="24"/>
      <c r="BG190" s="308"/>
      <c r="BH190" s="470"/>
      <c r="BI190" s="471"/>
      <c r="BJ190" s="471"/>
      <c r="BK190" s="470"/>
      <c r="BL190" s="471"/>
      <c r="BM190" s="472"/>
      <c r="BN190" s="39">
        <v>21.7</v>
      </c>
      <c r="BO190" s="24"/>
      <c r="BP190" s="95"/>
      <c r="BQ190" s="24">
        <v>45</v>
      </c>
      <c r="BR190" s="2"/>
      <c r="BS190" s="95"/>
      <c r="BT190" s="470"/>
      <c r="BU190" s="471"/>
      <c r="BV190" s="471"/>
      <c r="BW190" s="470"/>
      <c r="BX190" s="471"/>
      <c r="BY190" s="472"/>
      <c r="BZ190" s="470"/>
      <c r="CA190" s="471"/>
      <c r="CB190" s="471"/>
      <c r="CC190" s="470"/>
      <c r="CD190" s="471"/>
      <c r="CE190" s="472"/>
      <c r="CF190" s="470"/>
      <c r="CG190" s="471"/>
      <c r="CH190" s="471"/>
      <c r="CI190" s="470"/>
      <c r="CJ190" s="471"/>
      <c r="CK190" s="472"/>
    </row>
    <row r="191" spans="5:89" x14ac:dyDescent="0.2">
      <c r="F191" s="297">
        <v>9</v>
      </c>
      <c r="G191" s="24">
        <v>15</v>
      </c>
      <c r="H191" s="2">
        <v>-95</v>
      </c>
      <c r="I191" s="470"/>
      <c r="J191" s="471"/>
      <c r="K191" s="471"/>
      <c r="L191" s="470"/>
      <c r="M191" s="471"/>
      <c r="N191" s="471"/>
      <c r="O191" s="470"/>
      <c r="P191" s="471"/>
      <c r="Q191" s="472"/>
      <c r="R191" s="297">
        <v>18</v>
      </c>
      <c r="S191" s="24">
        <v>15</v>
      </c>
      <c r="T191" s="31">
        <v>-89</v>
      </c>
      <c r="U191" s="470"/>
      <c r="V191" s="471"/>
      <c r="W191" s="471"/>
      <c r="X191" s="470"/>
      <c r="Y191" s="471"/>
      <c r="Z191" s="471"/>
      <c r="AA191" s="470"/>
      <c r="AB191" s="471"/>
      <c r="AC191" s="472"/>
      <c r="AD191" s="39">
        <v>28.9</v>
      </c>
      <c r="AE191" s="24">
        <v>14</v>
      </c>
      <c r="AF191" s="95">
        <v>-88</v>
      </c>
      <c r="AG191" s="24">
        <v>60</v>
      </c>
      <c r="AH191" s="24">
        <v>12</v>
      </c>
      <c r="AI191" s="95">
        <v>-85</v>
      </c>
      <c r="AJ191" s="470"/>
      <c r="AK191" s="471"/>
      <c r="AL191" s="471"/>
      <c r="AM191" s="470"/>
      <c r="AN191" s="471"/>
      <c r="AO191" s="472"/>
      <c r="AP191" s="39">
        <v>28.9</v>
      </c>
      <c r="AQ191" s="24">
        <v>15</v>
      </c>
      <c r="AR191" s="95">
        <v>-86</v>
      </c>
      <c r="AS191" s="24">
        <v>60</v>
      </c>
      <c r="AT191" s="2">
        <v>14</v>
      </c>
      <c r="AU191" s="95">
        <v>-83</v>
      </c>
      <c r="AV191" s="470"/>
      <c r="AW191" s="471"/>
      <c r="AX191" s="471"/>
      <c r="AY191" s="470"/>
      <c r="AZ191" s="471"/>
      <c r="BA191" s="472"/>
      <c r="BB191" s="297">
        <v>18</v>
      </c>
      <c r="BC191" s="24"/>
      <c r="BD191" s="31"/>
      <c r="BE191" s="39">
        <v>36</v>
      </c>
      <c r="BF191" s="24"/>
      <c r="BG191" s="308"/>
      <c r="BH191" s="470"/>
      <c r="BI191" s="471"/>
      <c r="BJ191" s="471"/>
      <c r="BK191" s="470"/>
      <c r="BL191" s="471"/>
      <c r="BM191" s="472"/>
      <c r="BN191" s="39">
        <v>28.9</v>
      </c>
      <c r="BO191" s="24"/>
      <c r="BP191" s="95"/>
      <c r="BQ191" s="24">
        <v>60</v>
      </c>
      <c r="BR191" s="2"/>
      <c r="BS191" s="95"/>
      <c r="BT191" s="470"/>
      <c r="BU191" s="471"/>
      <c r="BV191" s="471"/>
      <c r="BW191" s="470"/>
      <c r="BX191" s="471"/>
      <c r="BY191" s="472"/>
      <c r="BZ191" s="470"/>
      <c r="CA191" s="471"/>
      <c r="CB191" s="471"/>
      <c r="CC191" s="470"/>
      <c r="CD191" s="471"/>
      <c r="CE191" s="472"/>
      <c r="CF191" s="470"/>
      <c r="CG191" s="471"/>
      <c r="CH191" s="471"/>
      <c r="CI191" s="470"/>
      <c r="CJ191" s="471"/>
      <c r="CK191" s="472"/>
    </row>
    <row r="192" spans="5:89" x14ac:dyDescent="0.2">
      <c r="F192" s="297">
        <v>11</v>
      </c>
      <c r="G192" s="24">
        <v>15</v>
      </c>
      <c r="H192" s="2">
        <v>-94</v>
      </c>
      <c r="I192" s="470"/>
      <c r="J192" s="471"/>
      <c r="K192" s="471"/>
      <c r="L192" s="470"/>
      <c r="M192" s="471"/>
      <c r="N192" s="471"/>
      <c r="O192" s="470"/>
      <c r="P192" s="471"/>
      <c r="Q192" s="472"/>
      <c r="R192" s="297">
        <v>24</v>
      </c>
      <c r="S192" s="24">
        <v>15</v>
      </c>
      <c r="T192" s="31">
        <v>-87</v>
      </c>
      <c r="U192" s="470"/>
      <c r="V192" s="471"/>
      <c r="W192" s="471"/>
      <c r="X192" s="470"/>
      <c r="Y192" s="471"/>
      <c r="Z192" s="471"/>
      <c r="AA192" s="470"/>
      <c r="AB192" s="471"/>
      <c r="AC192" s="472"/>
      <c r="AD192" s="39">
        <v>43.3</v>
      </c>
      <c r="AE192" s="24">
        <v>14</v>
      </c>
      <c r="AF192" s="95">
        <v>-85</v>
      </c>
      <c r="AG192" s="24">
        <v>90</v>
      </c>
      <c r="AH192" s="24">
        <v>12</v>
      </c>
      <c r="AI192" s="95">
        <v>-82</v>
      </c>
      <c r="AJ192" s="470"/>
      <c r="AK192" s="471"/>
      <c r="AL192" s="471"/>
      <c r="AM192" s="470"/>
      <c r="AN192" s="471"/>
      <c r="AO192" s="472"/>
      <c r="AP192" s="39">
        <v>43.3</v>
      </c>
      <c r="AQ192" s="24">
        <v>15</v>
      </c>
      <c r="AR192" s="95">
        <v>-83</v>
      </c>
      <c r="AS192" s="24">
        <v>90</v>
      </c>
      <c r="AT192" s="2">
        <v>14</v>
      </c>
      <c r="AU192" s="95">
        <v>-79</v>
      </c>
      <c r="AV192" s="470"/>
      <c r="AW192" s="471"/>
      <c r="AX192" s="471"/>
      <c r="AY192" s="470"/>
      <c r="AZ192" s="471"/>
      <c r="BA192" s="472"/>
      <c r="BB192" s="297">
        <v>24</v>
      </c>
      <c r="BC192" s="24"/>
      <c r="BD192" s="31"/>
      <c r="BE192" s="39">
        <v>48</v>
      </c>
      <c r="BF192" s="24"/>
      <c r="BG192" s="308"/>
      <c r="BH192" s="470"/>
      <c r="BI192" s="471"/>
      <c r="BJ192" s="471"/>
      <c r="BK192" s="470"/>
      <c r="BL192" s="471"/>
      <c r="BM192" s="472"/>
      <c r="BN192" s="39">
        <v>43.3</v>
      </c>
      <c r="BO192" s="24"/>
      <c r="BP192" s="95"/>
      <c r="BQ192" s="24">
        <v>90</v>
      </c>
      <c r="BR192" s="2"/>
      <c r="BS192" s="95"/>
      <c r="BT192" s="470"/>
      <c r="BU192" s="471"/>
      <c r="BV192" s="471"/>
      <c r="BW192" s="470"/>
      <c r="BX192" s="471"/>
      <c r="BY192" s="472"/>
      <c r="BZ192" s="470"/>
      <c r="CA192" s="471"/>
      <c r="CB192" s="471"/>
      <c r="CC192" s="470"/>
      <c r="CD192" s="471"/>
      <c r="CE192" s="472"/>
      <c r="CF192" s="470"/>
      <c r="CG192" s="471"/>
      <c r="CH192" s="471"/>
      <c r="CI192" s="470"/>
      <c r="CJ192" s="471"/>
      <c r="CK192" s="472"/>
    </row>
    <row r="193" spans="5:89" x14ac:dyDescent="0.2">
      <c r="F193" s="297">
        <v>12</v>
      </c>
      <c r="G193" s="24">
        <v>15</v>
      </c>
      <c r="H193" s="2">
        <v>-93</v>
      </c>
      <c r="I193" s="470"/>
      <c r="J193" s="471"/>
      <c r="K193" s="471"/>
      <c r="L193" s="470"/>
      <c r="M193" s="471"/>
      <c r="N193" s="471"/>
      <c r="O193" s="470"/>
      <c r="P193" s="471"/>
      <c r="Q193" s="472"/>
      <c r="R193" s="297">
        <v>36</v>
      </c>
      <c r="S193" s="24">
        <v>15</v>
      </c>
      <c r="T193" s="31">
        <v>-83</v>
      </c>
      <c r="U193" s="470"/>
      <c r="V193" s="471"/>
      <c r="W193" s="471"/>
      <c r="X193" s="470"/>
      <c r="Y193" s="471"/>
      <c r="Z193" s="471"/>
      <c r="AA193" s="470"/>
      <c r="AB193" s="471"/>
      <c r="AC193" s="472"/>
      <c r="AD193" s="39">
        <v>57.8</v>
      </c>
      <c r="AE193" s="24">
        <v>14</v>
      </c>
      <c r="AF193" s="95">
        <v>-81</v>
      </c>
      <c r="AG193" s="24">
        <v>120</v>
      </c>
      <c r="AH193" s="24">
        <v>12</v>
      </c>
      <c r="AI193" s="95">
        <v>-76</v>
      </c>
      <c r="AJ193" s="470"/>
      <c r="AK193" s="471"/>
      <c r="AL193" s="471"/>
      <c r="AM193" s="470"/>
      <c r="AN193" s="471"/>
      <c r="AO193" s="472"/>
      <c r="AP193" s="39">
        <v>57.8</v>
      </c>
      <c r="AQ193" s="24">
        <v>13</v>
      </c>
      <c r="AR193" s="95">
        <v>-78</v>
      </c>
      <c r="AS193" s="24">
        <v>120</v>
      </c>
      <c r="AT193" s="2">
        <v>11</v>
      </c>
      <c r="AU193" s="95">
        <v>-75</v>
      </c>
      <c r="AV193" s="470"/>
      <c r="AW193" s="471"/>
      <c r="AX193" s="471"/>
      <c r="AY193" s="470"/>
      <c r="AZ193" s="471"/>
      <c r="BA193" s="472"/>
      <c r="BB193" s="297">
        <v>36</v>
      </c>
      <c r="BC193" s="24"/>
      <c r="BD193" s="31"/>
      <c r="BE193" s="39">
        <v>72</v>
      </c>
      <c r="BF193" s="24"/>
      <c r="BG193" s="308"/>
      <c r="BH193" s="470"/>
      <c r="BI193" s="471"/>
      <c r="BJ193" s="471"/>
      <c r="BK193" s="470"/>
      <c r="BL193" s="471"/>
      <c r="BM193" s="472"/>
      <c r="BN193" s="39">
        <v>57.8</v>
      </c>
      <c r="BO193" s="24"/>
      <c r="BP193" s="95"/>
      <c r="BQ193" s="24">
        <v>120</v>
      </c>
      <c r="BR193" s="2"/>
      <c r="BS193" s="95"/>
      <c r="BT193" s="470"/>
      <c r="BU193" s="471"/>
      <c r="BV193" s="471"/>
      <c r="BW193" s="470"/>
      <c r="BX193" s="471"/>
      <c r="BY193" s="472"/>
      <c r="BZ193" s="470"/>
      <c r="CA193" s="471"/>
      <c r="CB193" s="471"/>
      <c r="CC193" s="470"/>
      <c r="CD193" s="471"/>
      <c r="CE193" s="472"/>
      <c r="CF193" s="470"/>
      <c r="CG193" s="471"/>
      <c r="CH193" s="471"/>
      <c r="CI193" s="470"/>
      <c r="CJ193" s="471"/>
      <c r="CK193" s="472"/>
    </row>
    <row r="194" spans="5:89" x14ac:dyDescent="0.2">
      <c r="F194" s="297">
        <v>18</v>
      </c>
      <c r="G194" s="24">
        <v>15</v>
      </c>
      <c r="H194" s="2">
        <v>-92</v>
      </c>
      <c r="I194" s="470"/>
      <c r="J194" s="471"/>
      <c r="K194" s="471"/>
      <c r="L194" s="470"/>
      <c r="M194" s="471"/>
      <c r="N194" s="471"/>
      <c r="O194" s="470"/>
      <c r="P194" s="471"/>
      <c r="Q194" s="472"/>
      <c r="R194" s="297">
        <v>48</v>
      </c>
      <c r="S194" s="24">
        <v>14</v>
      </c>
      <c r="T194" s="31">
        <v>-81</v>
      </c>
      <c r="U194" s="470"/>
      <c r="V194" s="471"/>
      <c r="W194" s="471"/>
      <c r="X194" s="470"/>
      <c r="Y194" s="471"/>
      <c r="Z194" s="471"/>
      <c r="AA194" s="470"/>
      <c r="AB194" s="471"/>
      <c r="AC194" s="472"/>
      <c r="AD194" s="39">
        <v>65</v>
      </c>
      <c r="AE194" s="24">
        <v>13</v>
      </c>
      <c r="AF194" s="95">
        <v>-79</v>
      </c>
      <c r="AG194" s="24">
        <v>135</v>
      </c>
      <c r="AH194" s="24">
        <v>12</v>
      </c>
      <c r="AI194" s="95">
        <v>-75</v>
      </c>
      <c r="AJ194" s="470"/>
      <c r="AK194" s="471"/>
      <c r="AL194" s="471"/>
      <c r="AM194" s="470"/>
      <c r="AN194" s="471"/>
      <c r="AO194" s="472"/>
      <c r="AP194" s="39">
        <v>65</v>
      </c>
      <c r="AQ194" s="24">
        <v>11</v>
      </c>
      <c r="AR194" s="95">
        <v>-77</v>
      </c>
      <c r="AS194" s="24">
        <v>135</v>
      </c>
      <c r="AT194" s="2">
        <v>9</v>
      </c>
      <c r="AU194" s="95">
        <v>-73</v>
      </c>
      <c r="AV194" s="470"/>
      <c r="AW194" s="471"/>
      <c r="AX194" s="471"/>
      <c r="AY194" s="470"/>
      <c r="AZ194" s="471"/>
      <c r="BA194" s="472"/>
      <c r="BB194" s="297">
        <v>48</v>
      </c>
      <c r="BC194" s="24"/>
      <c r="BD194" s="31"/>
      <c r="BE194" s="39">
        <v>96</v>
      </c>
      <c r="BF194" s="24"/>
      <c r="BG194" s="308"/>
      <c r="BH194" s="470"/>
      <c r="BI194" s="471"/>
      <c r="BJ194" s="471"/>
      <c r="BK194" s="470"/>
      <c r="BL194" s="471"/>
      <c r="BM194" s="472"/>
      <c r="BN194" s="39">
        <v>65</v>
      </c>
      <c r="BO194" s="24"/>
      <c r="BP194" s="95"/>
      <c r="BQ194" s="24">
        <v>135</v>
      </c>
      <c r="BR194" s="2"/>
      <c r="BS194" s="95"/>
      <c r="BT194" s="470"/>
      <c r="BU194" s="471"/>
      <c r="BV194" s="471"/>
      <c r="BW194" s="470"/>
      <c r="BX194" s="471"/>
      <c r="BY194" s="472"/>
      <c r="BZ194" s="470"/>
      <c r="CA194" s="471"/>
      <c r="CB194" s="471"/>
      <c r="CC194" s="470"/>
      <c r="CD194" s="471"/>
      <c r="CE194" s="472"/>
      <c r="CF194" s="470"/>
      <c r="CG194" s="471"/>
      <c r="CH194" s="471"/>
      <c r="CI194" s="470"/>
      <c r="CJ194" s="471"/>
      <c r="CK194" s="472"/>
    </row>
    <row r="195" spans="5:89" x14ac:dyDescent="0.2">
      <c r="F195" s="297">
        <v>24</v>
      </c>
      <c r="G195" s="24">
        <v>15</v>
      </c>
      <c r="H195" s="2">
        <v>-89</v>
      </c>
      <c r="I195" s="470"/>
      <c r="J195" s="471"/>
      <c r="K195" s="471"/>
      <c r="L195" s="470"/>
      <c r="M195" s="471"/>
      <c r="N195" s="471"/>
      <c r="O195" s="470"/>
      <c r="P195" s="471"/>
      <c r="Q195" s="472"/>
      <c r="R195" s="297">
        <v>54</v>
      </c>
      <c r="S195" s="24">
        <v>12</v>
      </c>
      <c r="T195" s="31">
        <v>-80</v>
      </c>
      <c r="U195" s="470"/>
      <c r="V195" s="471"/>
      <c r="W195" s="471"/>
      <c r="X195" s="470"/>
      <c r="Y195" s="471"/>
      <c r="Z195" s="471"/>
      <c r="AA195" s="470"/>
      <c r="AB195" s="471"/>
      <c r="AC195" s="472"/>
      <c r="AD195" s="39">
        <v>72.2</v>
      </c>
      <c r="AE195" s="24">
        <v>13</v>
      </c>
      <c r="AF195" s="95">
        <v>-77</v>
      </c>
      <c r="AG195" s="21">
        <v>150</v>
      </c>
      <c r="AH195" s="24">
        <v>11</v>
      </c>
      <c r="AI195" s="95">
        <v>-74</v>
      </c>
      <c r="AJ195" s="470"/>
      <c r="AK195" s="471"/>
      <c r="AL195" s="471"/>
      <c r="AM195" s="470"/>
      <c r="AN195" s="471"/>
      <c r="AO195" s="472"/>
      <c r="AP195" s="39">
        <v>72.2</v>
      </c>
      <c r="AQ195" s="24">
        <v>9</v>
      </c>
      <c r="AR195" s="95">
        <v>-75</v>
      </c>
      <c r="AS195" s="21">
        <v>150</v>
      </c>
      <c r="AT195" s="2">
        <v>7</v>
      </c>
      <c r="AU195" s="95">
        <v>-71</v>
      </c>
      <c r="AV195" s="470"/>
      <c r="AW195" s="471"/>
      <c r="AX195" s="471"/>
      <c r="AY195" s="470"/>
      <c r="AZ195" s="471"/>
      <c r="BA195" s="472"/>
      <c r="BB195" s="297">
        <v>54</v>
      </c>
      <c r="BC195" s="24"/>
      <c r="BD195" s="31"/>
      <c r="BE195" s="39">
        <v>108</v>
      </c>
      <c r="BF195" s="24"/>
      <c r="BG195" s="308"/>
      <c r="BH195" s="470"/>
      <c r="BI195" s="471"/>
      <c r="BJ195" s="471"/>
      <c r="BK195" s="470"/>
      <c r="BL195" s="471"/>
      <c r="BM195" s="472"/>
      <c r="BN195" s="39">
        <v>72.2</v>
      </c>
      <c r="BO195" s="24"/>
      <c r="BP195" s="95"/>
      <c r="BQ195" s="21">
        <v>150</v>
      </c>
      <c r="BR195" s="2"/>
      <c r="BS195" s="95"/>
      <c r="BT195" s="470"/>
      <c r="BU195" s="471"/>
      <c r="BV195" s="471"/>
      <c r="BW195" s="470"/>
      <c r="BX195" s="471"/>
      <c r="BY195" s="472"/>
      <c r="BZ195" s="470"/>
      <c r="CA195" s="471"/>
      <c r="CB195" s="471"/>
      <c r="CC195" s="470"/>
      <c r="CD195" s="471"/>
      <c r="CE195" s="472"/>
      <c r="CF195" s="470"/>
      <c r="CG195" s="471"/>
      <c r="CH195" s="471"/>
      <c r="CI195" s="470"/>
      <c r="CJ195" s="471"/>
      <c r="CK195" s="472"/>
    </row>
    <row r="196" spans="5:89" x14ac:dyDescent="0.2">
      <c r="F196" s="297">
        <v>36</v>
      </c>
      <c r="G196" s="24">
        <v>15</v>
      </c>
      <c r="H196" s="2">
        <v>-86</v>
      </c>
      <c r="I196" s="470"/>
      <c r="J196" s="471"/>
      <c r="K196" s="471"/>
      <c r="L196" s="470"/>
      <c r="M196" s="471"/>
      <c r="N196" s="471"/>
      <c r="O196" s="470"/>
      <c r="P196" s="471"/>
      <c r="Q196" s="472"/>
      <c r="R196" s="52"/>
      <c r="S196" s="2"/>
      <c r="T196" s="2"/>
      <c r="U196" s="470"/>
      <c r="V196" s="471"/>
      <c r="W196" s="471"/>
      <c r="X196" s="470"/>
      <c r="Y196" s="471"/>
      <c r="Z196" s="471"/>
      <c r="AA196" s="470"/>
      <c r="AB196" s="471"/>
      <c r="AC196" s="472"/>
      <c r="AD196" s="52"/>
      <c r="AE196" s="2"/>
      <c r="AF196" s="10"/>
      <c r="AG196" s="2"/>
      <c r="AH196" s="2"/>
      <c r="AI196" s="53"/>
      <c r="AJ196" s="470"/>
      <c r="AK196" s="471"/>
      <c r="AL196" s="471"/>
      <c r="AM196" s="470"/>
      <c r="AN196" s="471"/>
      <c r="AO196" s="472"/>
      <c r="AP196" s="39"/>
      <c r="AQ196" s="2"/>
      <c r="AR196" s="10"/>
      <c r="AS196" s="2"/>
      <c r="AT196" s="2"/>
      <c r="AU196" s="53"/>
      <c r="AV196" s="470"/>
      <c r="AW196" s="471"/>
      <c r="AX196" s="471"/>
      <c r="AY196" s="470"/>
      <c r="AZ196" s="471"/>
      <c r="BA196" s="472"/>
      <c r="BB196" s="52"/>
      <c r="BC196" s="2"/>
      <c r="BD196" s="2"/>
      <c r="BE196" s="39"/>
      <c r="BF196" s="24"/>
      <c r="BG196" s="53"/>
      <c r="BH196" s="470"/>
      <c r="BI196" s="471"/>
      <c r="BJ196" s="471"/>
      <c r="BK196" s="470"/>
      <c r="BL196" s="471"/>
      <c r="BM196" s="472"/>
      <c r="BN196" s="52"/>
      <c r="BO196" s="2"/>
      <c r="BP196" s="10"/>
      <c r="BQ196" s="2"/>
      <c r="BR196" s="2"/>
      <c r="BS196" s="53"/>
      <c r="BT196" s="470"/>
      <c r="BU196" s="471"/>
      <c r="BV196" s="471"/>
      <c r="BW196" s="470"/>
      <c r="BX196" s="471"/>
      <c r="BY196" s="472"/>
      <c r="BZ196" s="470"/>
      <c r="CA196" s="471"/>
      <c r="CB196" s="471"/>
      <c r="CC196" s="470"/>
      <c r="CD196" s="471"/>
      <c r="CE196" s="472"/>
      <c r="CF196" s="470"/>
      <c r="CG196" s="471"/>
      <c r="CH196" s="471"/>
      <c r="CI196" s="470"/>
      <c r="CJ196" s="471"/>
      <c r="CK196" s="472"/>
    </row>
    <row r="197" spans="5:89" x14ac:dyDescent="0.2">
      <c r="F197" s="297">
        <v>48</v>
      </c>
      <c r="G197" s="24">
        <v>14</v>
      </c>
      <c r="H197" s="2">
        <v>-82</v>
      </c>
      <c r="I197" s="470"/>
      <c r="J197" s="471"/>
      <c r="K197" s="471"/>
      <c r="L197" s="470"/>
      <c r="M197" s="471"/>
      <c r="N197" s="471"/>
      <c r="O197" s="470"/>
      <c r="P197" s="471"/>
      <c r="Q197" s="472"/>
      <c r="R197" s="52"/>
      <c r="S197" s="31"/>
      <c r="T197" s="31"/>
      <c r="U197" s="470"/>
      <c r="V197" s="471"/>
      <c r="W197" s="471"/>
      <c r="X197" s="470"/>
      <c r="Y197" s="471"/>
      <c r="Z197" s="471"/>
      <c r="AA197" s="470"/>
      <c r="AB197" s="471"/>
      <c r="AC197" s="472"/>
      <c r="AD197" s="52"/>
      <c r="AE197" s="2"/>
      <c r="AF197" s="10"/>
      <c r="AG197" s="2"/>
      <c r="AH197" s="2"/>
      <c r="AI197" s="53"/>
      <c r="AJ197" s="470"/>
      <c r="AK197" s="471"/>
      <c r="AL197" s="471"/>
      <c r="AM197" s="470"/>
      <c r="AN197" s="471"/>
      <c r="AO197" s="472"/>
      <c r="AP197" s="52"/>
      <c r="AQ197" s="2"/>
      <c r="AR197" s="10"/>
      <c r="AS197" s="2"/>
      <c r="AT197" s="2"/>
      <c r="AU197" s="53"/>
      <c r="AV197" s="470"/>
      <c r="AW197" s="471"/>
      <c r="AX197" s="471"/>
      <c r="AY197" s="470"/>
      <c r="AZ197" s="471"/>
      <c r="BA197" s="472"/>
      <c r="BB197" s="52"/>
      <c r="BC197" s="31"/>
      <c r="BD197" s="31"/>
      <c r="BE197" s="39"/>
      <c r="BF197" s="2"/>
      <c r="BG197" s="53"/>
      <c r="BH197" s="470"/>
      <c r="BI197" s="471"/>
      <c r="BJ197" s="471"/>
      <c r="BK197" s="470"/>
      <c r="BL197" s="471"/>
      <c r="BM197" s="472"/>
      <c r="BN197" s="52"/>
      <c r="BO197" s="2"/>
      <c r="BP197" s="10"/>
      <c r="BQ197" s="2"/>
      <c r="BR197" s="2"/>
      <c r="BS197" s="53"/>
      <c r="BT197" s="470"/>
      <c r="BU197" s="471"/>
      <c r="BV197" s="471"/>
      <c r="BW197" s="470"/>
      <c r="BX197" s="471"/>
      <c r="BY197" s="472"/>
      <c r="BZ197" s="470"/>
      <c r="CA197" s="471"/>
      <c r="CB197" s="471"/>
      <c r="CC197" s="470"/>
      <c r="CD197" s="471"/>
      <c r="CE197" s="472"/>
      <c r="CF197" s="470"/>
      <c r="CG197" s="471"/>
      <c r="CH197" s="471"/>
      <c r="CI197" s="470"/>
      <c r="CJ197" s="471"/>
      <c r="CK197" s="472"/>
    </row>
    <row r="198" spans="5:89" ht="10.5" thickBot="1" x14ac:dyDescent="0.25">
      <c r="F198" s="298">
        <v>54</v>
      </c>
      <c r="G198" s="399">
        <v>14</v>
      </c>
      <c r="H198" s="55">
        <v>-81</v>
      </c>
      <c r="I198" s="473"/>
      <c r="J198" s="474"/>
      <c r="K198" s="474"/>
      <c r="L198" s="473"/>
      <c r="M198" s="474"/>
      <c r="N198" s="474"/>
      <c r="O198" s="473"/>
      <c r="P198" s="474"/>
      <c r="Q198" s="475"/>
      <c r="R198" s="54"/>
      <c r="S198" s="303"/>
      <c r="T198" s="303"/>
      <c r="U198" s="473"/>
      <c r="V198" s="474"/>
      <c r="W198" s="474"/>
      <c r="X198" s="473"/>
      <c r="Y198" s="474"/>
      <c r="Z198" s="474"/>
      <c r="AA198" s="473"/>
      <c r="AB198" s="474"/>
      <c r="AC198" s="475"/>
      <c r="AD198" s="54"/>
      <c r="AE198" s="55"/>
      <c r="AF198" s="309"/>
      <c r="AG198" s="55"/>
      <c r="AH198" s="55"/>
      <c r="AI198" s="56"/>
      <c r="AJ198" s="473"/>
      <c r="AK198" s="474"/>
      <c r="AL198" s="474"/>
      <c r="AM198" s="473"/>
      <c r="AN198" s="474"/>
      <c r="AO198" s="475"/>
      <c r="AP198" s="54"/>
      <c r="AQ198" s="55"/>
      <c r="AR198" s="309"/>
      <c r="AS198" s="55"/>
      <c r="AT198" s="55"/>
      <c r="AU198" s="56"/>
      <c r="AV198" s="473"/>
      <c r="AW198" s="474"/>
      <c r="AX198" s="474"/>
      <c r="AY198" s="473"/>
      <c r="AZ198" s="474"/>
      <c r="BA198" s="475"/>
      <c r="BB198" s="54"/>
      <c r="BC198" s="303"/>
      <c r="BD198" s="303"/>
      <c r="BE198" s="304"/>
      <c r="BF198" s="55"/>
      <c r="BG198" s="56"/>
      <c r="BH198" s="473"/>
      <c r="BI198" s="474"/>
      <c r="BJ198" s="474"/>
      <c r="BK198" s="473"/>
      <c r="BL198" s="474"/>
      <c r="BM198" s="475"/>
      <c r="BN198" s="54"/>
      <c r="BO198" s="55"/>
      <c r="BP198" s="309"/>
      <c r="BQ198" s="55"/>
      <c r="BR198" s="55"/>
      <c r="BS198" s="56"/>
      <c r="BT198" s="473"/>
      <c r="BU198" s="474"/>
      <c r="BV198" s="474"/>
      <c r="BW198" s="473"/>
      <c r="BX198" s="474"/>
      <c r="BY198" s="475"/>
      <c r="BZ198" s="473"/>
      <c r="CA198" s="474"/>
      <c r="CB198" s="474"/>
      <c r="CC198" s="473"/>
      <c r="CD198" s="474"/>
      <c r="CE198" s="475"/>
      <c r="CF198" s="473"/>
      <c r="CG198" s="474"/>
      <c r="CH198" s="474"/>
      <c r="CI198" s="473"/>
      <c r="CJ198" s="474"/>
      <c r="CK198" s="475"/>
    </row>
    <row r="200" spans="5:89" ht="10.5" x14ac:dyDescent="0.25">
      <c r="F200" s="26" t="s">
        <v>0</v>
      </c>
      <c r="G200" s="26"/>
      <c r="H200" s="449"/>
      <c r="I200" s="26"/>
      <c r="J200" s="26"/>
      <c r="K200" s="26"/>
      <c r="L200" s="26"/>
      <c r="M200" s="26"/>
      <c r="N200" s="26"/>
      <c r="O200" s="26"/>
      <c r="P200" s="26"/>
      <c r="Q200" s="26"/>
      <c r="R200" s="449" t="s">
        <v>1</v>
      </c>
      <c r="S200" s="25"/>
      <c r="T200" s="452"/>
      <c r="U200" s="25"/>
      <c r="AD200" s="450" t="s">
        <v>410</v>
      </c>
      <c r="AE200" s="450"/>
      <c r="AF200" s="451"/>
      <c r="AG200" s="450"/>
      <c r="AP200" s="450" t="s">
        <v>411</v>
      </c>
      <c r="AQ200" s="450"/>
      <c r="AR200" s="451"/>
      <c r="AS200" s="450"/>
      <c r="BB200" s="44" t="s">
        <v>223</v>
      </c>
      <c r="BD200" s="155"/>
      <c r="BN200" s="44" t="s">
        <v>351</v>
      </c>
      <c r="BZ200" s="44" t="s">
        <v>515</v>
      </c>
      <c r="CF200" s="2"/>
      <c r="CG200" s="2"/>
      <c r="CH200" s="2"/>
      <c r="CI200" s="2"/>
      <c r="CJ200" s="2"/>
      <c r="CK200" s="2"/>
    </row>
    <row r="201" spans="5:89" ht="11" thickBot="1" x14ac:dyDescent="0.3">
      <c r="F201" s="26" t="s">
        <v>113</v>
      </c>
      <c r="G201" s="26" t="s">
        <v>108</v>
      </c>
      <c r="H201" s="26" t="s">
        <v>109</v>
      </c>
      <c r="I201" s="26" t="s">
        <v>110</v>
      </c>
      <c r="J201" s="26" t="s">
        <v>111</v>
      </c>
      <c r="K201" s="26" t="s">
        <v>112</v>
      </c>
      <c r="L201" s="26"/>
      <c r="M201" s="26"/>
      <c r="N201" s="26"/>
      <c r="O201" s="26"/>
      <c r="P201" s="26"/>
      <c r="Q201" s="26"/>
      <c r="R201" s="26" t="s">
        <v>113</v>
      </c>
      <c r="S201" s="159" t="s">
        <v>108</v>
      </c>
      <c r="T201" s="159" t="s">
        <v>109</v>
      </c>
      <c r="U201" s="26" t="s">
        <v>110</v>
      </c>
      <c r="V201" s="26" t="s">
        <v>111</v>
      </c>
      <c r="W201" s="26" t="s">
        <v>112</v>
      </c>
      <c r="X201" s="26"/>
      <c r="Y201" s="26"/>
      <c r="Z201" s="26"/>
      <c r="AA201" s="26"/>
      <c r="AB201" s="26"/>
      <c r="AC201" s="26"/>
      <c r="AD201" s="159" t="s">
        <v>88</v>
      </c>
      <c r="AE201" s="159" t="s">
        <v>83</v>
      </c>
      <c r="AF201" s="159" t="s">
        <v>84</v>
      </c>
      <c r="AG201" s="159" t="s">
        <v>87</v>
      </c>
      <c r="AH201" s="159" t="s">
        <v>85</v>
      </c>
      <c r="AI201" s="159" t="s">
        <v>86</v>
      </c>
      <c r="AJ201" s="26"/>
      <c r="AK201" s="26"/>
      <c r="AL201" s="26"/>
      <c r="AM201" s="26"/>
      <c r="AN201" s="26"/>
      <c r="AO201" s="26"/>
      <c r="AP201" s="159" t="s">
        <v>88</v>
      </c>
      <c r="AQ201" s="159" t="s">
        <v>83</v>
      </c>
      <c r="AR201" s="159" t="s">
        <v>84</v>
      </c>
      <c r="AS201" s="159" t="s">
        <v>87</v>
      </c>
      <c r="AT201" s="159" t="s">
        <v>85</v>
      </c>
      <c r="AU201" s="159" t="s">
        <v>86</v>
      </c>
      <c r="AV201" s="26"/>
      <c r="AW201" s="26"/>
      <c r="AX201" s="26"/>
      <c r="AY201" s="26"/>
      <c r="AZ201" s="26"/>
      <c r="BA201" s="26"/>
      <c r="BB201" s="102" t="s">
        <v>88</v>
      </c>
      <c r="BC201" s="102" t="s">
        <v>83</v>
      </c>
      <c r="BD201" s="102" t="s">
        <v>84</v>
      </c>
      <c r="BE201" s="102" t="s">
        <v>87</v>
      </c>
      <c r="BF201" s="102" t="s">
        <v>85</v>
      </c>
      <c r="BG201" s="102" t="s">
        <v>86</v>
      </c>
      <c r="BH201" s="26"/>
      <c r="BI201" s="26"/>
      <c r="BJ201" s="26"/>
      <c r="BK201" s="26"/>
      <c r="BL201" s="26"/>
      <c r="BM201" s="26"/>
      <c r="BN201" s="102" t="s">
        <v>88</v>
      </c>
      <c r="BO201" s="102" t="s">
        <v>83</v>
      </c>
      <c r="BP201" s="102" t="s">
        <v>84</v>
      </c>
      <c r="BQ201" s="102" t="s">
        <v>87</v>
      </c>
      <c r="BR201" s="102" t="s">
        <v>85</v>
      </c>
      <c r="BS201" s="102" t="s">
        <v>86</v>
      </c>
      <c r="BT201" s="26"/>
      <c r="BU201" s="26"/>
      <c r="BV201" s="26"/>
      <c r="BW201" s="26"/>
      <c r="BX201" s="26"/>
      <c r="BY201" s="26"/>
      <c r="BZ201" s="102" t="s">
        <v>88</v>
      </c>
      <c r="CA201" s="102" t="s">
        <v>83</v>
      </c>
      <c r="CB201" s="102" t="s">
        <v>84</v>
      </c>
      <c r="CC201" s="102" t="s">
        <v>87</v>
      </c>
      <c r="CD201" s="102" t="s">
        <v>85</v>
      </c>
      <c r="CE201" s="102" t="s">
        <v>86</v>
      </c>
      <c r="CF201" s="159" t="s">
        <v>512</v>
      </c>
      <c r="CG201" s="159" t="s">
        <v>514</v>
      </c>
      <c r="CH201" s="159" t="s">
        <v>513</v>
      </c>
      <c r="CI201" s="102" t="s">
        <v>516</v>
      </c>
      <c r="CJ201" s="102" t="s">
        <v>517</v>
      </c>
      <c r="CK201" s="102" t="s">
        <v>518</v>
      </c>
    </row>
    <row r="202" spans="5:89" x14ac:dyDescent="0.2">
      <c r="E202" s="1" t="s">
        <v>577</v>
      </c>
      <c r="F202" s="467"/>
      <c r="G202" s="468"/>
      <c r="H202" s="468"/>
      <c r="I202" s="467"/>
      <c r="J202" s="468"/>
      <c r="K202" s="469"/>
      <c r="L202" s="467"/>
      <c r="M202" s="468"/>
      <c r="N202" s="468"/>
      <c r="O202" s="467"/>
      <c r="P202" s="468"/>
      <c r="Q202" s="469"/>
      <c r="R202" s="293">
        <v>6</v>
      </c>
      <c r="S202" s="50">
        <v>18</v>
      </c>
      <c r="T202" s="305">
        <v>-94</v>
      </c>
      <c r="U202" s="467"/>
      <c r="V202" s="468"/>
      <c r="W202" s="469"/>
      <c r="X202" s="467"/>
      <c r="Y202" s="468"/>
      <c r="Z202" s="468"/>
      <c r="AA202" s="467"/>
      <c r="AB202" s="468"/>
      <c r="AC202" s="469"/>
      <c r="AD202" s="467"/>
      <c r="AE202" s="468"/>
      <c r="AF202" s="468"/>
      <c r="AG202" s="467"/>
      <c r="AH202" s="468"/>
      <c r="AI202" s="469"/>
      <c r="AJ202" s="467"/>
      <c r="AK202" s="468"/>
      <c r="AL202" s="468"/>
      <c r="AM202" s="467"/>
      <c r="AN202" s="468"/>
      <c r="AO202" s="469"/>
      <c r="AP202" s="414">
        <v>7.2</v>
      </c>
      <c r="AQ202" s="50">
        <v>18</v>
      </c>
      <c r="AR202" s="305">
        <v>-94</v>
      </c>
      <c r="AS202" s="306">
        <v>15</v>
      </c>
      <c r="AT202" s="50">
        <v>18</v>
      </c>
      <c r="AU202" s="305">
        <v>-92</v>
      </c>
      <c r="AV202" s="467"/>
      <c r="AW202" s="468"/>
      <c r="AX202" s="468"/>
      <c r="AY202" s="467"/>
      <c r="AZ202" s="468"/>
      <c r="BA202" s="469"/>
      <c r="BB202" s="467"/>
      <c r="BC202" s="468"/>
      <c r="BD202" s="468"/>
      <c r="BE202" s="467"/>
      <c r="BF202" s="468"/>
      <c r="BG202" s="469"/>
      <c r="BH202" s="467"/>
      <c r="BI202" s="468"/>
      <c r="BJ202" s="468"/>
      <c r="BK202" s="467"/>
      <c r="BL202" s="468"/>
      <c r="BM202" s="469"/>
      <c r="BN202" s="467"/>
      <c r="BO202" s="468"/>
      <c r="BP202" s="468"/>
      <c r="BQ202" s="467"/>
      <c r="BR202" s="468"/>
      <c r="BS202" s="469"/>
      <c r="BT202" s="467"/>
      <c r="BU202" s="468"/>
      <c r="BV202" s="468"/>
      <c r="BW202" s="467"/>
      <c r="BX202" s="468"/>
      <c r="BY202" s="469"/>
      <c r="BZ202" s="414">
        <v>7.2</v>
      </c>
      <c r="CA202" s="306">
        <v>18</v>
      </c>
      <c r="CB202" s="306">
        <v>-94</v>
      </c>
      <c r="CC202" s="414">
        <v>15</v>
      </c>
      <c r="CD202" s="306">
        <v>18</v>
      </c>
      <c r="CE202" s="306">
        <v>-92</v>
      </c>
      <c r="CF202" s="293">
        <v>32.5</v>
      </c>
      <c r="CG202" s="306">
        <v>18</v>
      </c>
      <c r="CH202" s="307">
        <v>-90</v>
      </c>
      <c r="CI202" s="467"/>
      <c r="CJ202" s="468"/>
      <c r="CK202" s="469"/>
    </row>
    <row r="203" spans="5:89" x14ac:dyDescent="0.2">
      <c r="E203" s="458" t="s">
        <v>575</v>
      </c>
      <c r="F203" s="470"/>
      <c r="G203" s="471"/>
      <c r="H203" s="471"/>
      <c r="I203" s="470"/>
      <c r="J203" s="471"/>
      <c r="K203" s="472"/>
      <c r="L203" s="470"/>
      <c r="M203" s="471"/>
      <c r="N203" s="471"/>
      <c r="O203" s="470"/>
      <c r="P203" s="471"/>
      <c r="Q203" s="472"/>
      <c r="R203" s="297">
        <v>9</v>
      </c>
      <c r="S203" s="2">
        <v>18</v>
      </c>
      <c r="T203" s="95">
        <v>-92</v>
      </c>
      <c r="U203" s="470"/>
      <c r="V203" s="471"/>
      <c r="W203" s="472"/>
      <c r="X203" s="470"/>
      <c r="Y203" s="471"/>
      <c r="Z203" s="471"/>
      <c r="AA203" s="470"/>
      <c r="AB203" s="471"/>
      <c r="AC203" s="472"/>
      <c r="AD203" s="470"/>
      <c r="AE203" s="471"/>
      <c r="AF203" s="471"/>
      <c r="AG203" s="470"/>
      <c r="AH203" s="471"/>
      <c r="AI203" s="472"/>
      <c r="AJ203" s="470"/>
      <c r="AK203" s="471"/>
      <c r="AL203" s="471"/>
      <c r="AM203" s="470"/>
      <c r="AN203" s="471"/>
      <c r="AO203" s="472"/>
      <c r="AP203" s="39">
        <v>14.4</v>
      </c>
      <c r="AQ203" s="2">
        <v>18</v>
      </c>
      <c r="AR203" s="95">
        <v>-92</v>
      </c>
      <c r="AS203" s="24">
        <v>30</v>
      </c>
      <c r="AT203" s="2">
        <v>18</v>
      </c>
      <c r="AU203" s="95">
        <v>-91</v>
      </c>
      <c r="AV203" s="470"/>
      <c r="AW203" s="471"/>
      <c r="AX203" s="471"/>
      <c r="AY203" s="470"/>
      <c r="AZ203" s="471"/>
      <c r="BA203" s="472"/>
      <c r="BB203" s="470"/>
      <c r="BC203" s="471"/>
      <c r="BD203" s="471"/>
      <c r="BE203" s="470"/>
      <c r="BF203" s="471"/>
      <c r="BG203" s="472"/>
      <c r="BH203" s="470"/>
      <c r="BI203" s="471"/>
      <c r="BJ203" s="471"/>
      <c r="BK203" s="470"/>
      <c r="BL203" s="471"/>
      <c r="BM203" s="472"/>
      <c r="BN203" s="470"/>
      <c r="BO203" s="471"/>
      <c r="BP203" s="471"/>
      <c r="BQ203" s="470"/>
      <c r="BR203" s="471"/>
      <c r="BS203" s="472"/>
      <c r="BT203" s="470"/>
      <c r="BU203" s="471"/>
      <c r="BV203" s="471"/>
      <c r="BW203" s="470"/>
      <c r="BX203" s="471"/>
      <c r="BY203" s="472"/>
      <c r="BZ203" s="39">
        <v>14.4</v>
      </c>
      <c r="CA203" s="24">
        <v>18</v>
      </c>
      <c r="CB203" s="24">
        <v>-92</v>
      </c>
      <c r="CC203" s="39">
        <v>30</v>
      </c>
      <c r="CD203" s="24">
        <v>18</v>
      </c>
      <c r="CE203" s="24">
        <v>-91</v>
      </c>
      <c r="CF203" s="297">
        <v>65</v>
      </c>
      <c r="CG203" s="24">
        <v>18</v>
      </c>
      <c r="CH203" s="308">
        <v>-89</v>
      </c>
      <c r="CI203" s="470"/>
      <c r="CJ203" s="471"/>
      <c r="CK203" s="472"/>
    </row>
    <row r="204" spans="5:89" x14ac:dyDescent="0.2">
      <c r="F204" s="470"/>
      <c r="G204" s="471"/>
      <c r="H204" s="471"/>
      <c r="I204" s="470"/>
      <c r="J204" s="471"/>
      <c r="K204" s="472"/>
      <c r="L204" s="470"/>
      <c r="M204" s="471"/>
      <c r="N204" s="471"/>
      <c r="O204" s="470"/>
      <c r="P204" s="471"/>
      <c r="Q204" s="472"/>
      <c r="R204" s="297">
        <v>12</v>
      </c>
      <c r="S204" s="24">
        <v>18</v>
      </c>
      <c r="T204" s="95">
        <v>-90</v>
      </c>
      <c r="U204" s="470"/>
      <c r="V204" s="471"/>
      <c r="W204" s="472"/>
      <c r="X204" s="470"/>
      <c r="Y204" s="471"/>
      <c r="Z204" s="471"/>
      <c r="AA204" s="470"/>
      <c r="AB204" s="471"/>
      <c r="AC204" s="472"/>
      <c r="AD204" s="470"/>
      <c r="AE204" s="471"/>
      <c r="AF204" s="471"/>
      <c r="AG204" s="470"/>
      <c r="AH204" s="471"/>
      <c r="AI204" s="472"/>
      <c r="AJ204" s="470"/>
      <c r="AK204" s="471"/>
      <c r="AL204" s="471"/>
      <c r="AM204" s="470"/>
      <c r="AN204" s="471"/>
      <c r="AO204" s="472"/>
      <c r="AP204" s="39">
        <v>21.7</v>
      </c>
      <c r="AQ204" s="24">
        <v>18</v>
      </c>
      <c r="AR204" s="95">
        <v>-90</v>
      </c>
      <c r="AS204" s="24">
        <v>45</v>
      </c>
      <c r="AT204" s="2">
        <v>18</v>
      </c>
      <c r="AU204" s="95">
        <v>-90</v>
      </c>
      <c r="AV204" s="470"/>
      <c r="AW204" s="471"/>
      <c r="AX204" s="471"/>
      <c r="AY204" s="470"/>
      <c r="AZ204" s="471"/>
      <c r="BA204" s="472"/>
      <c r="BB204" s="470"/>
      <c r="BC204" s="471"/>
      <c r="BD204" s="471"/>
      <c r="BE204" s="470"/>
      <c r="BF204" s="471"/>
      <c r="BG204" s="472"/>
      <c r="BH204" s="470"/>
      <c r="BI204" s="471"/>
      <c r="BJ204" s="471"/>
      <c r="BK204" s="470"/>
      <c r="BL204" s="471"/>
      <c r="BM204" s="472"/>
      <c r="BN204" s="470"/>
      <c r="BO204" s="471"/>
      <c r="BP204" s="471"/>
      <c r="BQ204" s="470"/>
      <c r="BR204" s="471"/>
      <c r="BS204" s="472"/>
      <c r="BT204" s="470"/>
      <c r="BU204" s="471"/>
      <c r="BV204" s="471"/>
      <c r="BW204" s="470"/>
      <c r="BX204" s="471"/>
      <c r="BY204" s="472"/>
      <c r="BZ204" s="39">
        <v>21.7</v>
      </c>
      <c r="CA204" s="24">
        <v>18</v>
      </c>
      <c r="CB204" s="24">
        <v>-90</v>
      </c>
      <c r="CC204" s="39">
        <v>45</v>
      </c>
      <c r="CD204" s="24">
        <v>18</v>
      </c>
      <c r="CE204" s="24">
        <v>-90</v>
      </c>
      <c r="CF204" s="297">
        <v>97.5</v>
      </c>
      <c r="CG204" s="24">
        <v>16</v>
      </c>
      <c r="CH204" s="308">
        <v>-87</v>
      </c>
      <c r="CI204" s="470"/>
      <c r="CJ204" s="471"/>
      <c r="CK204" s="472"/>
    </row>
    <row r="205" spans="5:89" x14ac:dyDescent="0.2">
      <c r="F205" s="470"/>
      <c r="G205" s="471"/>
      <c r="H205" s="471"/>
      <c r="I205" s="470"/>
      <c r="J205" s="471"/>
      <c r="K205" s="472"/>
      <c r="L205" s="470"/>
      <c r="M205" s="471"/>
      <c r="N205" s="471"/>
      <c r="O205" s="470"/>
      <c r="P205" s="471"/>
      <c r="Q205" s="472"/>
      <c r="R205" s="297">
        <v>18</v>
      </c>
      <c r="S205" s="24">
        <v>18</v>
      </c>
      <c r="T205" s="95">
        <v>-86</v>
      </c>
      <c r="U205" s="470"/>
      <c r="V205" s="471"/>
      <c r="W205" s="472"/>
      <c r="X205" s="470"/>
      <c r="Y205" s="471"/>
      <c r="Z205" s="471"/>
      <c r="AA205" s="470"/>
      <c r="AB205" s="471"/>
      <c r="AC205" s="472"/>
      <c r="AD205" s="470"/>
      <c r="AE205" s="471"/>
      <c r="AF205" s="471"/>
      <c r="AG205" s="470"/>
      <c r="AH205" s="471"/>
      <c r="AI205" s="472"/>
      <c r="AJ205" s="470"/>
      <c r="AK205" s="471"/>
      <c r="AL205" s="471"/>
      <c r="AM205" s="470"/>
      <c r="AN205" s="471"/>
      <c r="AO205" s="472"/>
      <c r="AP205" s="39">
        <v>28.9</v>
      </c>
      <c r="AQ205" s="24">
        <v>18</v>
      </c>
      <c r="AR205" s="95">
        <v>-86</v>
      </c>
      <c r="AS205" s="24">
        <v>60</v>
      </c>
      <c r="AT205" s="2">
        <v>18</v>
      </c>
      <c r="AU205" s="95">
        <v>-85</v>
      </c>
      <c r="AV205" s="470"/>
      <c r="AW205" s="471"/>
      <c r="AX205" s="471"/>
      <c r="AY205" s="470"/>
      <c r="AZ205" s="471"/>
      <c r="BA205" s="472"/>
      <c r="BB205" s="470"/>
      <c r="BC205" s="471"/>
      <c r="BD205" s="471"/>
      <c r="BE205" s="470"/>
      <c r="BF205" s="471"/>
      <c r="BG205" s="472"/>
      <c r="BH205" s="470"/>
      <c r="BI205" s="471"/>
      <c r="BJ205" s="471"/>
      <c r="BK205" s="470"/>
      <c r="BL205" s="471"/>
      <c r="BM205" s="472"/>
      <c r="BN205" s="470"/>
      <c r="BO205" s="471"/>
      <c r="BP205" s="471"/>
      <c r="BQ205" s="470"/>
      <c r="BR205" s="471"/>
      <c r="BS205" s="472"/>
      <c r="BT205" s="470"/>
      <c r="BU205" s="471"/>
      <c r="BV205" s="471"/>
      <c r="BW205" s="470"/>
      <c r="BX205" s="471"/>
      <c r="BY205" s="472"/>
      <c r="BZ205" s="39">
        <v>28.9</v>
      </c>
      <c r="CA205" s="24">
        <v>18</v>
      </c>
      <c r="CB205" s="24">
        <v>-86</v>
      </c>
      <c r="CC205" s="39">
        <v>60</v>
      </c>
      <c r="CD205" s="24">
        <v>18</v>
      </c>
      <c r="CE205" s="24">
        <v>-85</v>
      </c>
      <c r="CF205" s="297">
        <v>130</v>
      </c>
      <c r="CG205" s="24">
        <v>16</v>
      </c>
      <c r="CH205" s="308">
        <v>-82</v>
      </c>
      <c r="CI205" s="470"/>
      <c r="CJ205" s="471"/>
      <c r="CK205" s="472"/>
    </row>
    <row r="206" spans="5:89" x14ac:dyDescent="0.2">
      <c r="F206" s="470"/>
      <c r="G206" s="471"/>
      <c r="H206" s="471"/>
      <c r="I206" s="470"/>
      <c r="J206" s="471"/>
      <c r="K206" s="472"/>
      <c r="L206" s="470"/>
      <c r="M206" s="471"/>
      <c r="N206" s="471"/>
      <c r="O206" s="470"/>
      <c r="P206" s="471"/>
      <c r="Q206" s="472"/>
      <c r="R206" s="297">
        <v>24</v>
      </c>
      <c r="S206" s="24">
        <v>18</v>
      </c>
      <c r="T206" s="95">
        <v>-83</v>
      </c>
      <c r="U206" s="470"/>
      <c r="V206" s="471"/>
      <c r="W206" s="472"/>
      <c r="X206" s="470"/>
      <c r="Y206" s="471"/>
      <c r="Z206" s="471"/>
      <c r="AA206" s="470"/>
      <c r="AB206" s="471"/>
      <c r="AC206" s="472"/>
      <c r="AD206" s="470"/>
      <c r="AE206" s="471"/>
      <c r="AF206" s="471"/>
      <c r="AG206" s="470"/>
      <c r="AH206" s="471"/>
      <c r="AI206" s="472"/>
      <c r="AJ206" s="470"/>
      <c r="AK206" s="471"/>
      <c r="AL206" s="471"/>
      <c r="AM206" s="470"/>
      <c r="AN206" s="471"/>
      <c r="AO206" s="472"/>
      <c r="AP206" s="39">
        <v>43.3</v>
      </c>
      <c r="AQ206" s="24">
        <v>18</v>
      </c>
      <c r="AR206" s="95">
        <v>-83</v>
      </c>
      <c r="AS206" s="24">
        <v>90</v>
      </c>
      <c r="AT206" s="2">
        <v>18</v>
      </c>
      <c r="AU206" s="95">
        <v>-82</v>
      </c>
      <c r="AV206" s="470"/>
      <c r="AW206" s="471"/>
      <c r="AX206" s="471"/>
      <c r="AY206" s="470"/>
      <c r="AZ206" s="471"/>
      <c r="BA206" s="472"/>
      <c r="BB206" s="470"/>
      <c r="BC206" s="471"/>
      <c r="BD206" s="471"/>
      <c r="BE206" s="470"/>
      <c r="BF206" s="471"/>
      <c r="BG206" s="472"/>
      <c r="BH206" s="470"/>
      <c r="BI206" s="471"/>
      <c r="BJ206" s="471"/>
      <c r="BK206" s="470"/>
      <c r="BL206" s="471"/>
      <c r="BM206" s="472"/>
      <c r="BN206" s="470"/>
      <c r="BO206" s="471"/>
      <c r="BP206" s="471"/>
      <c r="BQ206" s="470"/>
      <c r="BR206" s="471"/>
      <c r="BS206" s="472"/>
      <c r="BT206" s="470"/>
      <c r="BU206" s="471"/>
      <c r="BV206" s="471"/>
      <c r="BW206" s="470"/>
      <c r="BX206" s="471"/>
      <c r="BY206" s="472"/>
      <c r="BZ206" s="39">
        <v>43.3</v>
      </c>
      <c r="CA206" s="24">
        <v>18</v>
      </c>
      <c r="CB206" s="24">
        <v>-83</v>
      </c>
      <c r="CC206" s="39">
        <v>90</v>
      </c>
      <c r="CD206" s="24">
        <v>18</v>
      </c>
      <c r="CE206" s="24">
        <v>-82</v>
      </c>
      <c r="CF206" s="297">
        <v>195</v>
      </c>
      <c r="CG206" s="24">
        <v>16</v>
      </c>
      <c r="CH206" s="308">
        <v>-79</v>
      </c>
      <c r="CI206" s="470"/>
      <c r="CJ206" s="471"/>
      <c r="CK206" s="472"/>
    </row>
    <row r="207" spans="5:89" x14ac:dyDescent="0.2">
      <c r="F207" s="470"/>
      <c r="G207" s="471"/>
      <c r="H207" s="471"/>
      <c r="I207" s="470"/>
      <c r="J207" s="471"/>
      <c r="K207" s="472"/>
      <c r="L207" s="470"/>
      <c r="M207" s="471"/>
      <c r="N207" s="471"/>
      <c r="O207" s="470"/>
      <c r="P207" s="471"/>
      <c r="Q207" s="472"/>
      <c r="R207" s="297">
        <v>36</v>
      </c>
      <c r="S207" s="24">
        <v>18</v>
      </c>
      <c r="T207" s="95">
        <v>-78</v>
      </c>
      <c r="U207" s="470"/>
      <c r="V207" s="471"/>
      <c r="W207" s="472"/>
      <c r="X207" s="470"/>
      <c r="Y207" s="471"/>
      <c r="Z207" s="471"/>
      <c r="AA207" s="470"/>
      <c r="AB207" s="471"/>
      <c r="AC207" s="472"/>
      <c r="AD207" s="470"/>
      <c r="AE207" s="471"/>
      <c r="AF207" s="471"/>
      <c r="AG207" s="470"/>
      <c r="AH207" s="471"/>
      <c r="AI207" s="472"/>
      <c r="AJ207" s="470"/>
      <c r="AK207" s="471"/>
      <c r="AL207" s="471"/>
      <c r="AM207" s="470"/>
      <c r="AN207" s="471"/>
      <c r="AO207" s="472"/>
      <c r="AP207" s="39">
        <v>57.8</v>
      </c>
      <c r="AQ207" s="24">
        <v>18</v>
      </c>
      <c r="AR207" s="95">
        <v>-78</v>
      </c>
      <c r="AS207" s="24">
        <v>120</v>
      </c>
      <c r="AT207" s="2">
        <v>18</v>
      </c>
      <c r="AU207" s="95">
        <v>-78</v>
      </c>
      <c r="AV207" s="470"/>
      <c r="AW207" s="471"/>
      <c r="AX207" s="471"/>
      <c r="AY207" s="470"/>
      <c r="AZ207" s="471"/>
      <c r="BA207" s="472"/>
      <c r="BB207" s="470"/>
      <c r="BC207" s="471"/>
      <c r="BD207" s="471"/>
      <c r="BE207" s="470"/>
      <c r="BF207" s="471"/>
      <c r="BG207" s="472"/>
      <c r="BH207" s="470"/>
      <c r="BI207" s="471"/>
      <c r="BJ207" s="471"/>
      <c r="BK207" s="470"/>
      <c r="BL207" s="471"/>
      <c r="BM207" s="472"/>
      <c r="BN207" s="470"/>
      <c r="BO207" s="471"/>
      <c r="BP207" s="471"/>
      <c r="BQ207" s="470"/>
      <c r="BR207" s="471"/>
      <c r="BS207" s="472"/>
      <c r="BT207" s="470"/>
      <c r="BU207" s="471"/>
      <c r="BV207" s="471"/>
      <c r="BW207" s="470"/>
      <c r="BX207" s="471"/>
      <c r="BY207" s="472"/>
      <c r="BZ207" s="39">
        <v>57.8</v>
      </c>
      <c r="CA207" s="24">
        <v>16</v>
      </c>
      <c r="CB207" s="24">
        <v>-78</v>
      </c>
      <c r="CC207" s="39">
        <v>120</v>
      </c>
      <c r="CD207" s="24">
        <v>16</v>
      </c>
      <c r="CE207" s="24">
        <v>-78</v>
      </c>
      <c r="CF207" s="297">
        <v>260</v>
      </c>
      <c r="CG207" s="24">
        <v>16</v>
      </c>
      <c r="CH207" s="308">
        <v>-75</v>
      </c>
      <c r="CI207" s="470"/>
      <c r="CJ207" s="471"/>
      <c r="CK207" s="472"/>
    </row>
    <row r="208" spans="5:89" x14ac:dyDescent="0.2">
      <c r="F208" s="470"/>
      <c r="G208" s="471"/>
      <c r="H208" s="471"/>
      <c r="I208" s="470"/>
      <c r="J208" s="471"/>
      <c r="K208" s="472"/>
      <c r="L208" s="470"/>
      <c r="M208" s="471"/>
      <c r="N208" s="471"/>
      <c r="O208" s="470"/>
      <c r="P208" s="471"/>
      <c r="Q208" s="472"/>
      <c r="R208" s="297">
        <v>48</v>
      </c>
      <c r="S208" s="24">
        <v>18</v>
      </c>
      <c r="T208" s="95">
        <v>-77</v>
      </c>
      <c r="U208" s="470"/>
      <c r="V208" s="471"/>
      <c r="W208" s="472"/>
      <c r="X208" s="470"/>
      <c r="Y208" s="471"/>
      <c r="Z208" s="471"/>
      <c r="AA208" s="470"/>
      <c r="AB208" s="471"/>
      <c r="AC208" s="472"/>
      <c r="AD208" s="470"/>
      <c r="AE208" s="471"/>
      <c r="AF208" s="471"/>
      <c r="AG208" s="470"/>
      <c r="AH208" s="471"/>
      <c r="AI208" s="472"/>
      <c r="AJ208" s="470"/>
      <c r="AK208" s="471"/>
      <c r="AL208" s="471"/>
      <c r="AM208" s="470"/>
      <c r="AN208" s="471"/>
      <c r="AO208" s="472"/>
      <c r="AP208" s="39">
        <v>65</v>
      </c>
      <c r="AQ208" s="24">
        <v>18</v>
      </c>
      <c r="AR208" s="95">
        <v>-77</v>
      </c>
      <c r="AS208" s="24">
        <v>135</v>
      </c>
      <c r="AT208" s="2">
        <v>18</v>
      </c>
      <c r="AU208" s="95">
        <v>-77</v>
      </c>
      <c r="AV208" s="470"/>
      <c r="AW208" s="471"/>
      <c r="AX208" s="471"/>
      <c r="AY208" s="470"/>
      <c r="AZ208" s="471"/>
      <c r="BA208" s="472"/>
      <c r="BB208" s="470"/>
      <c r="BC208" s="471"/>
      <c r="BD208" s="471"/>
      <c r="BE208" s="470"/>
      <c r="BF208" s="471"/>
      <c r="BG208" s="472"/>
      <c r="BH208" s="470"/>
      <c r="BI208" s="471"/>
      <c r="BJ208" s="471"/>
      <c r="BK208" s="470"/>
      <c r="BL208" s="471"/>
      <c r="BM208" s="472"/>
      <c r="BN208" s="470"/>
      <c r="BO208" s="471"/>
      <c r="BP208" s="471"/>
      <c r="BQ208" s="470"/>
      <c r="BR208" s="471"/>
      <c r="BS208" s="472"/>
      <c r="BT208" s="470"/>
      <c r="BU208" s="471"/>
      <c r="BV208" s="471"/>
      <c r="BW208" s="470"/>
      <c r="BX208" s="471"/>
      <c r="BY208" s="472"/>
      <c r="BZ208" s="39">
        <v>65</v>
      </c>
      <c r="CA208" s="24">
        <v>16</v>
      </c>
      <c r="CB208" s="24">
        <v>-77</v>
      </c>
      <c r="CC208" s="39">
        <v>135</v>
      </c>
      <c r="CD208" s="24">
        <v>16</v>
      </c>
      <c r="CE208" s="24">
        <v>-77</v>
      </c>
      <c r="CF208" s="297">
        <v>292.5</v>
      </c>
      <c r="CG208" s="24">
        <v>16</v>
      </c>
      <c r="CH208" s="308">
        <v>-74</v>
      </c>
      <c r="CI208" s="470"/>
      <c r="CJ208" s="471"/>
      <c r="CK208" s="472"/>
    </row>
    <row r="209" spans="5:89" x14ac:dyDescent="0.2">
      <c r="F209" s="470"/>
      <c r="G209" s="471"/>
      <c r="H209" s="471"/>
      <c r="I209" s="470"/>
      <c r="J209" s="471"/>
      <c r="K209" s="472"/>
      <c r="L209" s="470"/>
      <c r="M209" s="471"/>
      <c r="N209" s="471"/>
      <c r="O209" s="470"/>
      <c r="P209" s="471"/>
      <c r="Q209" s="472"/>
      <c r="R209" s="297">
        <v>54</v>
      </c>
      <c r="S209" s="24">
        <v>16</v>
      </c>
      <c r="T209" s="95">
        <v>-76</v>
      </c>
      <c r="U209" s="470"/>
      <c r="V209" s="471"/>
      <c r="W209" s="472"/>
      <c r="X209" s="470"/>
      <c r="Y209" s="471"/>
      <c r="Z209" s="471"/>
      <c r="AA209" s="470"/>
      <c r="AB209" s="471"/>
      <c r="AC209" s="472"/>
      <c r="AD209" s="470"/>
      <c r="AE209" s="471"/>
      <c r="AF209" s="471"/>
      <c r="AG209" s="470"/>
      <c r="AH209" s="471"/>
      <c r="AI209" s="472"/>
      <c r="AJ209" s="470"/>
      <c r="AK209" s="471"/>
      <c r="AL209" s="471"/>
      <c r="AM209" s="470"/>
      <c r="AN209" s="471"/>
      <c r="AO209" s="472"/>
      <c r="AP209" s="39">
        <v>72.2</v>
      </c>
      <c r="AQ209" s="24">
        <v>16</v>
      </c>
      <c r="AR209" s="95">
        <v>-76</v>
      </c>
      <c r="AS209" s="21">
        <v>150</v>
      </c>
      <c r="AT209" s="2">
        <v>16</v>
      </c>
      <c r="AU209" s="95">
        <v>-76</v>
      </c>
      <c r="AV209" s="470"/>
      <c r="AW209" s="471"/>
      <c r="AX209" s="471"/>
      <c r="AY209" s="470"/>
      <c r="AZ209" s="471"/>
      <c r="BA209" s="472"/>
      <c r="BB209" s="470"/>
      <c r="BC209" s="471"/>
      <c r="BD209" s="471"/>
      <c r="BE209" s="470"/>
      <c r="BF209" s="471"/>
      <c r="BG209" s="472"/>
      <c r="BH209" s="470"/>
      <c r="BI209" s="471"/>
      <c r="BJ209" s="471"/>
      <c r="BK209" s="470"/>
      <c r="BL209" s="471"/>
      <c r="BM209" s="472"/>
      <c r="BN209" s="470"/>
      <c r="BO209" s="471"/>
      <c r="BP209" s="471"/>
      <c r="BQ209" s="470"/>
      <c r="BR209" s="471"/>
      <c r="BS209" s="472"/>
      <c r="BT209" s="470"/>
      <c r="BU209" s="471"/>
      <c r="BV209" s="471"/>
      <c r="BW209" s="470"/>
      <c r="BX209" s="471"/>
      <c r="BY209" s="472"/>
      <c r="BZ209" s="39">
        <v>72.2</v>
      </c>
      <c r="CA209" s="24">
        <v>16</v>
      </c>
      <c r="CB209" s="24">
        <v>-76</v>
      </c>
      <c r="CC209" s="39">
        <v>150</v>
      </c>
      <c r="CD209" s="24">
        <v>16</v>
      </c>
      <c r="CE209" s="24">
        <v>-76</v>
      </c>
      <c r="CF209" s="297">
        <v>325</v>
      </c>
      <c r="CG209" s="24">
        <v>16</v>
      </c>
      <c r="CH209" s="308">
        <v>-72</v>
      </c>
      <c r="CI209" s="470"/>
      <c r="CJ209" s="471"/>
      <c r="CK209" s="472"/>
    </row>
    <row r="210" spans="5:89" x14ac:dyDescent="0.2">
      <c r="F210" s="470"/>
      <c r="G210" s="471"/>
      <c r="H210" s="471"/>
      <c r="I210" s="470"/>
      <c r="J210" s="471"/>
      <c r="K210" s="472"/>
      <c r="L210" s="470"/>
      <c r="M210" s="471"/>
      <c r="N210" s="471"/>
      <c r="O210" s="470"/>
      <c r="P210" s="471"/>
      <c r="Q210" s="472"/>
      <c r="R210" s="52"/>
      <c r="S210" s="2"/>
      <c r="T210" s="2"/>
      <c r="U210" s="470"/>
      <c r="V210" s="471"/>
      <c r="W210" s="472"/>
      <c r="X210" s="470"/>
      <c r="Y210" s="471"/>
      <c r="Z210" s="471"/>
      <c r="AA210" s="470"/>
      <c r="AB210" s="471"/>
      <c r="AC210" s="472"/>
      <c r="AD210" s="470"/>
      <c r="AE210" s="471"/>
      <c r="AF210" s="471"/>
      <c r="AG210" s="470"/>
      <c r="AH210" s="471"/>
      <c r="AI210" s="472"/>
      <c r="AJ210" s="470"/>
      <c r="AK210" s="471"/>
      <c r="AL210" s="471"/>
      <c r="AM210" s="470"/>
      <c r="AN210" s="471"/>
      <c r="AO210" s="472"/>
      <c r="AP210" s="39"/>
      <c r="AQ210" s="2"/>
      <c r="AR210" s="10"/>
      <c r="AS210" s="2"/>
      <c r="AT210" s="2"/>
      <c r="AU210" s="53"/>
      <c r="AV210" s="470"/>
      <c r="AW210" s="471"/>
      <c r="AX210" s="471"/>
      <c r="AY210" s="470"/>
      <c r="AZ210" s="471"/>
      <c r="BA210" s="472"/>
      <c r="BB210" s="470"/>
      <c r="BC210" s="471"/>
      <c r="BD210" s="471"/>
      <c r="BE210" s="470"/>
      <c r="BF210" s="471"/>
      <c r="BG210" s="472"/>
      <c r="BH210" s="470"/>
      <c r="BI210" s="471"/>
      <c r="BJ210" s="471"/>
      <c r="BK210" s="470"/>
      <c r="BL210" s="471"/>
      <c r="BM210" s="472"/>
      <c r="BN210" s="470"/>
      <c r="BO210" s="471"/>
      <c r="BP210" s="471"/>
      <c r="BQ210" s="470"/>
      <c r="BR210" s="471"/>
      <c r="BS210" s="472"/>
      <c r="BT210" s="470"/>
      <c r="BU210" s="471"/>
      <c r="BV210" s="471"/>
      <c r="BW210" s="470"/>
      <c r="BX210" s="471"/>
      <c r="BY210" s="472"/>
      <c r="BZ210" s="39">
        <v>86.7</v>
      </c>
      <c r="CA210" s="24">
        <v>14</v>
      </c>
      <c r="CB210" s="24">
        <v>-72</v>
      </c>
      <c r="CC210" s="39">
        <v>180</v>
      </c>
      <c r="CD210" s="24">
        <v>14</v>
      </c>
      <c r="CE210" s="24">
        <v>-71</v>
      </c>
      <c r="CF210" s="297">
        <v>390</v>
      </c>
      <c r="CG210" s="24">
        <v>14</v>
      </c>
      <c r="CH210" s="308">
        <v>-68</v>
      </c>
      <c r="CI210" s="470"/>
      <c r="CJ210" s="471"/>
      <c r="CK210" s="472"/>
    </row>
    <row r="211" spans="5:89" x14ac:dyDescent="0.2">
      <c r="F211" s="470"/>
      <c r="G211" s="471"/>
      <c r="H211" s="471"/>
      <c r="I211" s="470"/>
      <c r="J211" s="471"/>
      <c r="K211" s="472"/>
      <c r="L211" s="470"/>
      <c r="M211" s="471"/>
      <c r="N211" s="471"/>
      <c r="O211" s="470"/>
      <c r="P211" s="471"/>
      <c r="Q211" s="472"/>
      <c r="R211" s="52"/>
      <c r="S211" s="31"/>
      <c r="T211" s="31"/>
      <c r="U211" s="470"/>
      <c r="V211" s="471"/>
      <c r="W211" s="472"/>
      <c r="X211" s="470"/>
      <c r="Y211" s="471"/>
      <c r="Z211" s="471"/>
      <c r="AA211" s="470"/>
      <c r="AB211" s="471"/>
      <c r="AC211" s="472"/>
      <c r="AD211" s="470"/>
      <c r="AE211" s="471"/>
      <c r="AF211" s="471"/>
      <c r="AG211" s="470"/>
      <c r="AH211" s="471"/>
      <c r="AI211" s="472"/>
      <c r="AJ211" s="470"/>
      <c r="AK211" s="471"/>
      <c r="AL211" s="471"/>
      <c r="AM211" s="470"/>
      <c r="AN211" s="471"/>
      <c r="AO211" s="472"/>
      <c r="AP211" s="52"/>
      <c r="AQ211" s="2"/>
      <c r="AR211" s="10"/>
      <c r="AS211" s="2"/>
      <c r="AT211" s="2"/>
      <c r="AU211" s="53"/>
      <c r="AV211" s="470"/>
      <c r="AW211" s="471"/>
      <c r="AX211" s="471"/>
      <c r="AY211" s="470"/>
      <c r="AZ211" s="471"/>
      <c r="BA211" s="472"/>
      <c r="BB211" s="470"/>
      <c r="BC211" s="471"/>
      <c r="BD211" s="471"/>
      <c r="BE211" s="470"/>
      <c r="BF211" s="471"/>
      <c r="BG211" s="472"/>
      <c r="BH211" s="470"/>
      <c r="BI211" s="471"/>
      <c r="BJ211" s="471"/>
      <c r="BK211" s="470"/>
      <c r="BL211" s="471"/>
      <c r="BM211" s="472"/>
      <c r="BN211" s="470"/>
      <c r="BO211" s="471"/>
      <c r="BP211" s="471"/>
      <c r="BQ211" s="470"/>
      <c r="BR211" s="471"/>
      <c r="BS211" s="472"/>
      <c r="BT211" s="470"/>
      <c r="BU211" s="471"/>
      <c r="BV211" s="471"/>
      <c r="BW211" s="470"/>
      <c r="BX211" s="471"/>
      <c r="BY211" s="472"/>
      <c r="BZ211" s="39"/>
      <c r="CA211" s="24"/>
      <c r="CB211" s="24"/>
      <c r="CC211" s="39">
        <v>200</v>
      </c>
      <c r="CD211" s="24">
        <v>14</v>
      </c>
      <c r="CE211" s="24">
        <v>-70</v>
      </c>
      <c r="CF211" s="297">
        <v>433.3</v>
      </c>
      <c r="CG211" s="24">
        <v>14</v>
      </c>
      <c r="CH211" s="308">
        <v>-67</v>
      </c>
      <c r="CI211" s="470"/>
      <c r="CJ211" s="471"/>
      <c r="CK211" s="472"/>
    </row>
    <row r="212" spans="5:89" ht="10.5" thickBot="1" x14ac:dyDescent="0.25">
      <c r="F212" s="473"/>
      <c r="G212" s="474"/>
      <c r="H212" s="474"/>
      <c r="I212" s="473"/>
      <c r="J212" s="474"/>
      <c r="K212" s="475"/>
      <c r="L212" s="473"/>
      <c r="M212" s="474"/>
      <c r="N212" s="474"/>
      <c r="O212" s="473"/>
      <c r="P212" s="474"/>
      <c r="Q212" s="475"/>
      <c r="R212" s="54"/>
      <c r="S212" s="303"/>
      <c r="T212" s="303"/>
      <c r="U212" s="473"/>
      <c r="V212" s="474"/>
      <c r="W212" s="475"/>
      <c r="X212" s="473"/>
      <c r="Y212" s="474"/>
      <c r="Z212" s="474"/>
      <c r="AA212" s="473"/>
      <c r="AB212" s="474"/>
      <c r="AC212" s="475"/>
      <c r="AD212" s="473"/>
      <c r="AE212" s="474"/>
      <c r="AF212" s="474"/>
      <c r="AG212" s="473"/>
      <c r="AH212" s="474"/>
      <c r="AI212" s="475"/>
      <c r="AJ212" s="473"/>
      <c r="AK212" s="474"/>
      <c r="AL212" s="474"/>
      <c r="AM212" s="473"/>
      <c r="AN212" s="474"/>
      <c r="AO212" s="475"/>
      <c r="AP212" s="54"/>
      <c r="AQ212" s="55"/>
      <c r="AR212" s="309"/>
      <c r="AS212" s="55"/>
      <c r="AT212" s="55"/>
      <c r="AU212" s="56"/>
      <c r="AV212" s="473"/>
      <c r="AW212" s="474"/>
      <c r="AX212" s="474"/>
      <c r="AY212" s="473"/>
      <c r="AZ212" s="474"/>
      <c r="BA212" s="475"/>
      <c r="BB212" s="473"/>
      <c r="BC212" s="474"/>
      <c r="BD212" s="474"/>
      <c r="BE212" s="473"/>
      <c r="BF212" s="474"/>
      <c r="BG212" s="475"/>
      <c r="BH212" s="473"/>
      <c r="BI212" s="474"/>
      <c r="BJ212" s="474"/>
      <c r="BK212" s="473"/>
      <c r="BL212" s="474"/>
      <c r="BM212" s="475"/>
      <c r="BN212" s="473"/>
      <c r="BO212" s="474"/>
      <c r="BP212" s="474"/>
      <c r="BQ212" s="473"/>
      <c r="BR212" s="474"/>
      <c r="BS212" s="475"/>
      <c r="BT212" s="473"/>
      <c r="BU212" s="474"/>
      <c r="BV212" s="474"/>
      <c r="BW212" s="473"/>
      <c r="BX212" s="474"/>
      <c r="BY212" s="475"/>
      <c r="BZ212" s="304"/>
      <c r="CA212" s="399"/>
      <c r="CB212" s="399"/>
      <c r="CC212" s="304"/>
      <c r="CD212" s="399"/>
      <c r="CE212" s="399"/>
      <c r="CF212" s="298"/>
      <c r="CG212" s="399"/>
      <c r="CH212" s="478"/>
      <c r="CI212" s="473"/>
      <c r="CJ212" s="474"/>
      <c r="CK212" s="475"/>
    </row>
    <row r="214" spans="5:89" ht="10.5" x14ac:dyDescent="0.25">
      <c r="F214" s="26" t="s">
        <v>0</v>
      </c>
      <c r="G214" s="26"/>
      <c r="H214" s="449"/>
      <c r="I214" s="26"/>
      <c r="J214" s="26"/>
      <c r="K214" s="26"/>
      <c r="L214" s="26"/>
      <c r="M214" s="26"/>
      <c r="N214" s="26"/>
      <c r="O214" s="26"/>
      <c r="P214" s="26"/>
      <c r="Q214" s="26"/>
      <c r="R214" s="449" t="s">
        <v>1</v>
      </c>
      <c r="S214" s="25"/>
      <c r="T214" s="452"/>
      <c r="U214" s="25"/>
      <c r="AD214" s="450" t="s">
        <v>410</v>
      </c>
      <c r="AE214" s="450"/>
      <c r="AF214" s="451"/>
      <c r="AG214" s="450"/>
      <c r="AP214" s="450" t="s">
        <v>411</v>
      </c>
      <c r="AQ214" s="450"/>
      <c r="AR214" s="451"/>
      <c r="AS214" s="450"/>
      <c r="BB214" s="44" t="s">
        <v>223</v>
      </c>
      <c r="BD214" s="155"/>
      <c r="BN214" s="44" t="s">
        <v>351</v>
      </c>
      <c r="BZ214" s="44" t="s">
        <v>515</v>
      </c>
      <c r="CF214" s="2"/>
      <c r="CG214" s="2"/>
      <c r="CH214" s="2"/>
      <c r="CI214" s="2"/>
      <c r="CJ214" s="2"/>
      <c r="CK214" s="2"/>
    </row>
    <row r="215" spans="5:89" ht="11" thickBot="1" x14ac:dyDescent="0.3">
      <c r="F215" s="26" t="s">
        <v>113</v>
      </c>
      <c r="G215" s="26" t="s">
        <v>108</v>
      </c>
      <c r="H215" s="26" t="s">
        <v>109</v>
      </c>
      <c r="I215" s="26" t="s">
        <v>110</v>
      </c>
      <c r="J215" s="26" t="s">
        <v>111</v>
      </c>
      <c r="K215" s="26" t="s">
        <v>112</v>
      </c>
      <c r="L215" s="26"/>
      <c r="M215" s="26"/>
      <c r="N215" s="26"/>
      <c r="O215" s="26"/>
      <c r="P215" s="26"/>
      <c r="Q215" s="26"/>
      <c r="R215" s="26" t="s">
        <v>113</v>
      </c>
      <c r="S215" s="159" t="s">
        <v>108</v>
      </c>
      <c r="T215" s="159" t="s">
        <v>109</v>
      </c>
      <c r="U215" s="26" t="s">
        <v>110</v>
      </c>
      <c r="V215" s="26" t="s">
        <v>111</v>
      </c>
      <c r="W215" s="26" t="s">
        <v>112</v>
      </c>
      <c r="X215" s="26"/>
      <c r="Y215" s="26"/>
      <c r="Z215" s="26"/>
      <c r="AA215" s="26"/>
      <c r="AB215" s="26"/>
      <c r="AC215" s="26"/>
      <c r="AD215" s="159" t="s">
        <v>88</v>
      </c>
      <c r="AE215" s="159" t="s">
        <v>83</v>
      </c>
      <c r="AF215" s="159" t="s">
        <v>84</v>
      </c>
      <c r="AG215" s="159" t="s">
        <v>87</v>
      </c>
      <c r="AH215" s="159" t="s">
        <v>85</v>
      </c>
      <c r="AI215" s="159" t="s">
        <v>86</v>
      </c>
      <c r="AJ215" s="26"/>
      <c r="AK215" s="26"/>
      <c r="AL215" s="26"/>
      <c r="AM215" s="26"/>
      <c r="AN215" s="26"/>
      <c r="AO215" s="26"/>
      <c r="AP215" s="159" t="s">
        <v>88</v>
      </c>
      <c r="AQ215" s="159" t="s">
        <v>83</v>
      </c>
      <c r="AR215" s="159" t="s">
        <v>84</v>
      </c>
      <c r="AS215" s="159" t="s">
        <v>87</v>
      </c>
      <c r="AT215" s="159" t="s">
        <v>85</v>
      </c>
      <c r="AU215" s="159" t="s">
        <v>86</v>
      </c>
      <c r="AV215" s="26"/>
      <c r="AW215" s="26"/>
      <c r="AX215" s="26"/>
      <c r="AY215" s="26"/>
      <c r="AZ215" s="26"/>
      <c r="BA215" s="26"/>
      <c r="BB215" s="102" t="s">
        <v>88</v>
      </c>
      <c r="BC215" s="102" t="s">
        <v>83</v>
      </c>
      <c r="BD215" s="102" t="s">
        <v>84</v>
      </c>
      <c r="BE215" s="102" t="s">
        <v>87</v>
      </c>
      <c r="BF215" s="102" t="s">
        <v>85</v>
      </c>
      <c r="BG215" s="102" t="s">
        <v>86</v>
      </c>
      <c r="BH215" s="26"/>
      <c r="BI215" s="26"/>
      <c r="BJ215" s="26"/>
      <c r="BK215" s="26"/>
      <c r="BL215" s="26"/>
      <c r="BM215" s="26"/>
      <c r="BN215" s="102" t="s">
        <v>88</v>
      </c>
      <c r="BO215" s="102" t="s">
        <v>83</v>
      </c>
      <c r="BP215" s="102" t="s">
        <v>84</v>
      </c>
      <c r="BQ215" s="102" t="s">
        <v>87</v>
      </c>
      <c r="BR215" s="102" t="s">
        <v>85</v>
      </c>
      <c r="BS215" s="102" t="s">
        <v>86</v>
      </c>
      <c r="BT215" s="26"/>
      <c r="BU215" s="26"/>
      <c r="BV215" s="26"/>
      <c r="BW215" s="26"/>
      <c r="BX215" s="26"/>
      <c r="BY215" s="26"/>
      <c r="BZ215" s="102" t="s">
        <v>88</v>
      </c>
      <c r="CA215" s="102" t="s">
        <v>83</v>
      </c>
      <c r="CB215" s="102" t="s">
        <v>84</v>
      </c>
      <c r="CC215" s="102" t="s">
        <v>87</v>
      </c>
      <c r="CD215" s="102" t="s">
        <v>85</v>
      </c>
      <c r="CE215" s="102" t="s">
        <v>86</v>
      </c>
      <c r="CF215" s="159" t="s">
        <v>512</v>
      </c>
      <c r="CG215" s="159" t="s">
        <v>514</v>
      </c>
      <c r="CH215" s="159" t="s">
        <v>513</v>
      </c>
      <c r="CI215" s="102" t="s">
        <v>516</v>
      </c>
      <c r="CJ215" s="102" t="s">
        <v>517</v>
      </c>
      <c r="CK215" s="102" t="s">
        <v>518</v>
      </c>
    </row>
    <row r="216" spans="5:89" x14ac:dyDescent="0.2">
      <c r="E216" s="1" t="s">
        <v>578</v>
      </c>
      <c r="F216" s="293">
        <v>1</v>
      </c>
      <c r="G216" s="306">
        <v>24</v>
      </c>
      <c r="H216" s="306">
        <v>-94</v>
      </c>
      <c r="I216" s="467"/>
      <c r="J216" s="468"/>
      <c r="K216" s="469"/>
      <c r="L216" s="467"/>
      <c r="M216" s="468"/>
      <c r="N216" s="468"/>
      <c r="O216" s="467"/>
      <c r="P216" s="468"/>
      <c r="Q216" s="469"/>
      <c r="R216" s="293">
        <v>6</v>
      </c>
      <c r="S216" s="306">
        <v>23</v>
      </c>
      <c r="T216" s="301">
        <v>-94</v>
      </c>
      <c r="U216" s="467"/>
      <c r="V216" s="468"/>
      <c r="W216" s="469"/>
      <c r="X216" s="467"/>
      <c r="Y216" s="468"/>
      <c r="Z216" s="468"/>
      <c r="AA216" s="467"/>
      <c r="AB216" s="468"/>
      <c r="AC216" s="469"/>
      <c r="AD216" s="414">
        <v>7.2</v>
      </c>
      <c r="AE216" s="50">
        <v>24</v>
      </c>
      <c r="AF216" s="305">
        <v>-94</v>
      </c>
      <c r="AG216" s="96">
        <v>15</v>
      </c>
      <c r="AH216" s="306">
        <v>23</v>
      </c>
      <c r="AI216" s="305">
        <v>-93</v>
      </c>
      <c r="AJ216" s="467"/>
      <c r="AK216" s="468"/>
      <c r="AL216" s="468"/>
      <c r="AM216" s="467"/>
      <c r="AN216" s="468"/>
      <c r="AO216" s="469"/>
      <c r="AP216" s="414">
        <v>7.2</v>
      </c>
      <c r="AQ216" s="306">
        <v>23</v>
      </c>
      <c r="AR216" s="306">
        <v>-93</v>
      </c>
      <c r="AS216" s="414">
        <v>15</v>
      </c>
      <c r="AT216" s="306">
        <v>23</v>
      </c>
      <c r="AU216" s="306">
        <v>-93</v>
      </c>
      <c r="AV216" s="467"/>
      <c r="AW216" s="468"/>
      <c r="AX216" s="468"/>
      <c r="AY216" s="467"/>
      <c r="AZ216" s="468"/>
      <c r="BA216" s="469"/>
      <c r="BB216" s="467"/>
      <c r="BC216" s="468"/>
      <c r="BD216" s="468"/>
      <c r="BE216" s="467"/>
      <c r="BF216" s="468"/>
      <c r="BG216" s="469"/>
      <c r="BH216" s="467"/>
      <c r="BI216" s="468"/>
      <c r="BJ216" s="468"/>
      <c r="BK216" s="467"/>
      <c r="BL216" s="468"/>
      <c r="BM216" s="469"/>
      <c r="BN216" s="467"/>
      <c r="BO216" s="468"/>
      <c r="BP216" s="468"/>
      <c r="BQ216" s="467"/>
      <c r="BR216" s="468"/>
      <c r="BS216" s="469"/>
      <c r="BT216" s="467"/>
      <c r="BU216" s="468"/>
      <c r="BV216" s="468"/>
      <c r="BW216" s="467"/>
      <c r="BX216" s="468"/>
      <c r="BY216" s="469"/>
      <c r="BZ216" s="414">
        <v>7.2</v>
      </c>
      <c r="CA216" s="306">
        <v>23</v>
      </c>
      <c r="CB216" s="306">
        <v>-93</v>
      </c>
      <c r="CC216" s="414">
        <v>15</v>
      </c>
      <c r="CD216" s="306">
        <v>23</v>
      </c>
      <c r="CE216" s="306">
        <v>-93</v>
      </c>
      <c r="CF216" s="293">
        <v>32.5</v>
      </c>
      <c r="CG216" s="306">
        <v>23</v>
      </c>
      <c r="CH216" s="307">
        <v>-89</v>
      </c>
      <c r="CI216" s="467"/>
      <c r="CJ216" s="468"/>
      <c r="CK216" s="469"/>
    </row>
    <row r="217" spans="5:89" x14ac:dyDescent="0.2">
      <c r="E217" s="458" t="s">
        <v>576</v>
      </c>
      <c r="F217" s="296">
        <v>5.5</v>
      </c>
      <c r="G217" s="24">
        <v>24</v>
      </c>
      <c r="H217" s="24">
        <v>-94</v>
      </c>
      <c r="I217" s="470"/>
      <c r="J217" s="471"/>
      <c r="K217" s="472"/>
      <c r="L217" s="470"/>
      <c r="M217" s="471"/>
      <c r="N217" s="471"/>
      <c r="O217" s="470"/>
      <c r="P217" s="471"/>
      <c r="Q217" s="472"/>
      <c r="R217" s="297">
        <v>9</v>
      </c>
      <c r="S217" s="24">
        <v>23</v>
      </c>
      <c r="T217" s="31">
        <v>-94</v>
      </c>
      <c r="U217" s="470"/>
      <c r="V217" s="471"/>
      <c r="W217" s="472"/>
      <c r="X217" s="470"/>
      <c r="Y217" s="471"/>
      <c r="Z217" s="471"/>
      <c r="AA217" s="470"/>
      <c r="AB217" s="471"/>
      <c r="AC217" s="472"/>
      <c r="AD217" s="39">
        <v>14.4</v>
      </c>
      <c r="AE217" s="2">
        <v>24</v>
      </c>
      <c r="AF217" s="95">
        <v>-94</v>
      </c>
      <c r="AG217" s="24">
        <v>30</v>
      </c>
      <c r="AH217" s="24">
        <v>23</v>
      </c>
      <c r="AI217" s="95">
        <v>-91</v>
      </c>
      <c r="AJ217" s="470"/>
      <c r="AK217" s="471"/>
      <c r="AL217" s="471"/>
      <c r="AM217" s="470"/>
      <c r="AN217" s="471"/>
      <c r="AO217" s="472"/>
      <c r="AP217" s="39">
        <v>14.4</v>
      </c>
      <c r="AQ217" s="24">
        <v>23</v>
      </c>
      <c r="AR217" s="24">
        <v>-91</v>
      </c>
      <c r="AS217" s="39">
        <v>30</v>
      </c>
      <c r="AT217" s="24">
        <v>23</v>
      </c>
      <c r="AU217" s="24">
        <v>-91</v>
      </c>
      <c r="AV217" s="470"/>
      <c r="AW217" s="471"/>
      <c r="AX217" s="471"/>
      <c r="AY217" s="470"/>
      <c r="AZ217" s="471"/>
      <c r="BA217" s="472"/>
      <c r="BB217" s="470"/>
      <c r="BC217" s="471"/>
      <c r="BD217" s="471"/>
      <c r="BE217" s="470"/>
      <c r="BF217" s="471"/>
      <c r="BG217" s="472"/>
      <c r="BH217" s="470"/>
      <c r="BI217" s="471"/>
      <c r="BJ217" s="471"/>
      <c r="BK217" s="470"/>
      <c r="BL217" s="471"/>
      <c r="BM217" s="472"/>
      <c r="BN217" s="470"/>
      <c r="BO217" s="471"/>
      <c r="BP217" s="471"/>
      <c r="BQ217" s="470"/>
      <c r="BR217" s="471"/>
      <c r="BS217" s="472"/>
      <c r="BT217" s="470"/>
      <c r="BU217" s="471"/>
      <c r="BV217" s="471"/>
      <c r="BW217" s="470"/>
      <c r="BX217" s="471"/>
      <c r="BY217" s="472"/>
      <c r="BZ217" s="39">
        <v>14.4</v>
      </c>
      <c r="CA217" s="24">
        <v>23</v>
      </c>
      <c r="CB217" s="24">
        <v>-91</v>
      </c>
      <c r="CC217" s="39">
        <v>30</v>
      </c>
      <c r="CD217" s="24">
        <v>23</v>
      </c>
      <c r="CE217" s="24">
        <v>-91</v>
      </c>
      <c r="CF217" s="297">
        <v>65</v>
      </c>
      <c r="CG217" s="24">
        <v>23</v>
      </c>
      <c r="CH217" s="308">
        <v>-88</v>
      </c>
      <c r="CI217" s="470"/>
      <c r="CJ217" s="471"/>
      <c r="CK217" s="472"/>
    </row>
    <row r="218" spans="5:89" x14ac:dyDescent="0.2">
      <c r="F218" s="297">
        <v>6</v>
      </c>
      <c r="G218" s="24">
        <v>24</v>
      </c>
      <c r="H218" s="24">
        <v>-94</v>
      </c>
      <c r="I218" s="470"/>
      <c r="J218" s="471"/>
      <c r="K218" s="472"/>
      <c r="L218" s="470"/>
      <c r="M218" s="471"/>
      <c r="N218" s="471"/>
      <c r="O218" s="470"/>
      <c r="P218" s="471"/>
      <c r="Q218" s="472"/>
      <c r="R218" s="297">
        <v>12</v>
      </c>
      <c r="S218" s="24">
        <v>23</v>
      </c>
      <c r="T218" s="31">
        <v>-94</v>
      </c>
      <c r="U218" s="470"/>
      <c r="V218" s="471"/>
      <c r="W218" s="472"/>
      <c r="X218" s="470"/>
      <c r="Y218" s="471"/>
      <c r="Z218" s="471"/>
      <c r="AA218" s="470"/>
      <c r="AB218" s="471"/>
      <c r="AC218" s="472"/>
      <c r="AD218" s="39">
        <v>21.7</v>
      </c>
      <c r="AE218" s="24">
        <v>24</v>
      </c>
      <c r="AF218" s="95">
        <v>-92</v>
      </c>
      <c r="AG218" s="24">
        <v>45</v>
      </c>
      <c r="AH218" s="24">
        <v>23</v>
      </c>
      <c r="AI218" s="95">
        <v>-90</v>
      </c>
      <c r="AJ218" s="470"/>
      <c r="AK218" s="471"/>
      <c r="AL218" s="471"/>
      <c r="AM218" s="470"/>
      <c r="AN218" s="471"/>
      <c r="AO218" s="472"/>
      <c r="AP218" s="39">
        <v>21.7</v>
      </c>
      <c r="AQ218" s="24">
        <v>23</v>
      </c>
      <c r="AR218" s="24">
        <v>-90</v>
      </c>
      <c r="AS218" s="39">
        <v>45</v>
      </c>
      <c r="AT218" s="24">
        <v>23</v>
      </c>
      <c r="AU218" s="24">
        <v>-90</v>
      </c>
      <c r="AV218" s="470"/>
      <c r="AW218" s="471"/>
      <c r="AX218" s="471"/>
      <c r="AY218" s="470"/>
      <c r="AZ218" s="471"/>
      <c r="BA218" s="472"/>
      <c r="BB218" s="470"/>
      <c r="BC218" s="471"/>
      <c r="BD218" s="471"/>
      <c r="BE218" s="470"/>
      <c r="BF218" s="471"/>
      <c r="BG218" s="472"/>
      <c r="BH218" s="470"/>
      <c r="BI218" s="471"/>
      <c r="BJ218" s="471"/>
      <c r="BK218" s="470"/>
      <c r="BL218" s="471"/>
      <c r="BM218" s="472"/>
      <c r="BN218" s="470"/>
      <c r="BO218" s="471"/>
      <c r="BP218" s="471"/>
      <c r="BQ218" s="470"/>
      <c r="BR218" s="471"/>
      <c r="BS218" s="472"/>
      <c r="BT218" s="470"/>
      <c r="BU218" s="471"/>
      <c r="BV218" s="471"/>
      <c r="BW218" s="470"/>
      <c r="BX218" s="471"/>
      <c r="BY218" s="472"/>
      <c r="BZ218" s="39">
        <v>21.7</v>
      </c>
      <c r="CA218" s="24">
        <v>23</v>
      </c>
      <c r="CB218" s="24">
        <v>-90</v>
      </c>
      <c r="CC218" s="39">
        <v>45</v>
      </c>
      <c r="CD218" s="24">
        <v>23</v>
      </c>
      <c r="CE218" s="24">
        <v>-90</v>
      </c>
      <c r="CF218" s="297">
        <v>97.5</v>
      </c>
      <c r="CG218" s="24">
        <v>23</v>
      </c>
      <c r="CH218" s="308">
        <v>-85</v>
      </c>
      <c r="CI218" s="470"/>
      <c r="CJ218" s="471"/>
      <c r="CK218" s="472"/>
    </row>
    <row r="219" spans="5:89" x14ac:dyDescent="0.2">
      <c r="F219" s="297">
        <v>9</v>
      </c>
      <c r="G219" s="24">
        <v>24</v>
      </c>
      <c r="H219" s="24">
        <v>-94</v>
      </c>
      <c r="I219" s="470"/>
      <c r="J219" s="471"/>
      <c r="K219" s="472"/>
      <c r="L219" s="470"/>
      <c r="M219" s="471"/>
      <c r="N219" s="471"/>
      <c r="O219" s="470"/>
      <c r="P219" s="471"/>
      <c r="Q219" s="472"/>
      <c r="R219" s="297">
        <v>18</v>
      </c>
      <c r="S219" s="24">
        <v>23</v>
      </c>
      <c r="T219" s="31">
        <v>-94</v>
      </c>
      <c r="U219" s="470"/>
      <c r="V219" s="471"/>
      <c r="W219" s="472"/>
      <c r="X219" s="470"/>
      <c r="Y219" s="471"/>
      <c r="Z219" s="471"/>
      <c r="AA219" s="470"/>
      <c r="AB219" s="471"/>
      <c r="AC219" s="472"/>
      <c r="AD219" s="39">
        <v>28.9</v>
      </c>
      <c r="AE219" s="24">
        <v>23</v>
      </c>
      <c r="AF219" s="95">
        <v>-88</v>
      </c>
      <c r="AG219" s="24">
        <v>60</v>
      </c>
      <c r="AH219" s="24">
        <v>22</v>
      </c>
      <c r="AI219" s="95">
        <v>-85</v>
      </c>
      <c r="AJ219" s="470"/>
      <c r="AK219" s="471"/>
      <c r="AL219" s="471"/>
      <c r="AM219" s="470"/>
      <c r="AN219" s="471"/>
      <c r="AO219" s="472"/>
      <c r="AP219" s="39">
        <v>28.9</v>
      </c>
      <c r="AQ219" s="24">
        <v>22</v>
      </c>
      <c r="AR219" s="24">
        <v>-85</v>
      </c>
      <c r="AS219" s="39">
        <v>60</v>
      </c>
      <c r="AT219" s="24">
        <v>21</v>
      </c>
      <c r="AU219" s="24">
        <v>-85</v>
      </c>
      <c r="AV219" s="470"/>
      <c r="AW219" s="471"/>
      <c r="AX219" s="471"/>
      <c r="AY219" s="470"/>
      <c r="AZ219" s="471"/>
      <c r="BA219" s="472"/>
      <c r="BB219" s="470"/>
      <c r="BC219" s="471"/>
      <c r="BD219" s="471"/>
      <c r="BE219" s="470"/>
      <c r="BF219" s="471"/>
      <c r="BG219" s="472"/>
      <c r="BH219" s="470"/>
      <c r="BI219" s="471"/>
      <c r="BJ219" s="471"/>
      <c r="BK219" s="470"/>
      <c r="BL219" s="471"/>
      <c r="BM219" s="472"/>
      <c r="BN219" s="470"/>
      <c r="BO219" s="471"/>
      <c r="BP219" s="471"/>
      <c r="BQ219" s="470"/>
      <c r="BR219" s="471"/>
      <c r="BS219" s="472"/>
      <c r="BT219" s="470"/>
      <c r="BU219" s="471"/>
      <c r="BV219" s="471"/>
      <c r="BW219" s="470"/>
      <c r="BX219" s="471"/>
      <c r="BY219" s="472"/>
      <c r="BZ219" s="39">
        <v>28.9</v>
      </c>
      <c r="CA219" s="24">
        <v>22</v>
      </c>
      <c r="CB219" s="24">
        <v>-85</v>
      </c>
      <c r="CC219" s="39">
        <v>60</v>
      </c>
      <c r="CD219" s="24">
        <v>21</v>
      </c>
      <c r="CE219" s="24">
        <v>-85</v>
      </c>
      <c r="CF219" s="297">
        <v>130</v>
      </c>
      <c r="CG219" s="24">
        <v>21</v>
      </c>
      <c r="CH219" s="308">
        <v>-81</v>
      </c>
      <c r="CI219" s="470"/>
      <c r="CJ219" s="471"/>
      <c r="CK219" s="472"/>
    </row>
    <row r="220" spans="5:89" x14ac:dyDescent="0.2">
      <c r="F220" s="297">
        <v>11</v>
      </c>
      <c r="G220" s="24">
        <v>24</v>
      </c>
      <c r="H220" s="24">
        <v>-94</v>
      </c>
      <c r="I220" s="470"/>
      <c r="J220" s="471"/>
      <c r="K220" s="472"/>
      <c r="L220" s="470"/>
      <c r="M220" s="471"/>
      <c r="N220" s="471"/>
      <c r="O220" s="470"/>
      <c r="P220" s="471"/>
      <c r="Q220" s="472"/>
      <c r="R220" s="297">
        <v>24</v>
      </c>
      <c r="S220" s="24">
        <v>23</v>
      </c>
      <c r="T220" s="31">
        <v>-94</v>
      </c>
      <c r="U220" s="470"/>
      <c r="V220" s="471"/>
      <c r="W220" s="472"/>
      <c r="X220" s="470"/>
      <c r="Y220" s="471"/>
      <c r="Z220" s="471"/>
      <c r="AA220" s="470"/>
      <c r="AB220" s="471"/>
      <c r="AC220" s="472"/>
      <c r="AD220" s="39">
        <v>43.3</v>
      </c>
      <c r="AE220" s="24">
        <v>23</v>
      </c>
      <c r="AF220" s="95">
        <v>-84</v>
      </c>
      <c r="AG220" s="24">
        <v>90</v>
      </c>
      <c r="AH220" s="24">
        <v>22</v>
      </c>
      <c r="AI220" s="95">
        <v>-82</v>
      </c>
      <c r="AJ220" s="470"/>
      <c r="AK220" s="471"/>
      <c r="AL220" s="471"/>
      <c r="AM220" s="470"/>
      <c r="AN220" s="471"/>
      <c r="AO220" s="472"/>
      <c r="AP220" s="39">
        <v>43.3</v>
      </c>
      <c r="AQ220" s="24">
        <v>22</v>
      </c>
      <c r="AR220" s="24">
        <v>-82</v>
      </c>
      <c r="AS220" s="39">
        <v>90</v>
      </c>
      <c r="AT220" s="24">
        <v>21</v>
      </c>
      <c r="AU220" s="24">
        <v>-82</v>
      </c>
      <c r="AV220" s="470"/>
      <c r="AW220" s="471"/>
      <c r="AX220" s="471"/>
      <c r="AY220" s="470"/>
      <c r="AZ220" s="471"/>
      <c r="BA220" s="472"/>
      <c r="BB220" s="470"/>
      <c r="BC220" s="471"/>
      <c r="BD220" s="471"/>
      <c r="BE220" s="470"/>
      <c r="BF220" s="471"/>
      <c r="BG220" s="472"/>
      <c r="BH220" s="470"/>
      <c r="BI220" s="471"/>
      <c r="BJ220" s="471"/>
      <c r="BK220" s="470"/>
      <c r="BL220" s="471"/>
      <c r="BM220" s="472"/>
      <c r="BN220" s="470"/>
      <c r="BO220" s="471"/>
      <c r="BP220" s="471"/>
      <c r="BQ220" s="470"/>
      <c r="BR220" s="471"/>
      <c r="BS220" s="472"/>
      <c r="BT220" s="470"/>
      <c r="BU220" s="471"/>
      <c r="BV220" s="471"/>
      <c r="BW220" s="470"/>
      <c r="BX220" s="471"/>
      <c r="BY220" s="472"/>
      <c r="BZ220" s="39">
        <v>43.3</v>
      </c>
      <c r="CA220" s="24">
        <v>22</v>
      </c>
      <c r="CB220" s="24">
        <v>-82</v>
      </c>
      <c r="CC220" s="39">
        <v>90</v>
      </c>
      <c r="CD220" s="24">
        <v>21</v>
      </c>
      <c r="CE220" s="24">
        <v>-82</v>
      </c>
      <c r="CF220" s="297">
        <v>195</v>
      </c>
      <c r="CG220" s="24">
        <v>21</v>
      </c>
      <c r="CH220" s="308">
        <v>-79</v>
      </c>
      <c r="CI220" s="470"/>
      <c r="CJ220" s="471"/>
      <c r="CK220" s="472"/>
    </row>
    <row r="221" spans="5:89" x14ac:dyDescent="0.2">
      <c r="F221" s="297">
        <v>12</v>
      </c>
      <c r="G221" s="24">
        <v>24</v>
      </c>
      <c r="H221" s="24">
        <v>-94</v>
      </c>
      <c r="I221" s="470"/>
      <c r="J221" s="471"/>
      <c r="K221" s="472"/>
      <c r="L221" s="470"/>
      <c r="M221" s="471"/>
      <c r="N221" s="471"/>
      <c r="O221" s="470"/>
      <c r="P221" s="471"/>
      <c r="Q221" s="472"/>
      <c r="R221" s="297">
        <v>36</v>
      </c>
      <c r="S221" s="24">
        <v>22</v>
      </c>
      <c r="T221" s="31">
        <v>-86</v>
      </c>
      <c r="U221" s="470"/>
      <c r="V221" s="471"/>
      <c r="W221" s="472"/>
      <c r="X221" s="470"/>
      <c r="Y221" s="471"/>
      <c r="Z221" s="471"/>
      <c r="AA221" s="470"/>
      <c r="AB221" s="471"/>
      <c r="AC221" s="472"/>
      <c r="AD221" s="39">
        <v>57.8</v>
      </c>
      <c r="AE221" s="24">
        <v>23</v>
      </c>
      <c r="AF221" s="95">
        <v>-81</v>
      </c>
      <c r="AG221" s="24">
        <v>120</v>
      </c>
      <c r="AH221" s="24">
        <v>22</v>
      </c>
      <c r="AI221" s="95">
        <v>-78</v>
      </c>
      <c r="AJ221" s="470"/>
      <c r="AK221" s="471"/>
      <c r="AL221" s="471"/>
      <c r="AM221" s="470"/>
      <c r="AN221" s="471"/>
      <c r="AO221" s="472"/>
      <c r="AP221" s="39">
        <v>57.8</v>
      </c>
      <c r="AQ221" s="24">
        <v>20</v>
      </c>
      <c r="AR221" s="24">
        <v>-78</v>
      </c>
      <c r="AS221" s="39">
        <v>120</v>
      </c>
      <c r="AT221" s="24">
        <v>19</v>
      </c>
      <c r="AU221" s="24">
        <v>-78</v>
      </c>
      <c r="AV221" s="470"/>
      <c r="AW221" s="471"/>
      <c r="AX221" s="471"/>
      <c r="AY221" s="470"/>
      <c r="AZ221" s="471"/>
      <c r="BA221" s="472"/>
      <c r="BB221" s="470"/>
      <c r="BC221" s="471"/>
      <c r="BD221" s="471"/>
      <c r="BE221" s="470"/>
      <c r="BF221" s="471"/>
      <c r="BG221" s="472"/>
      <c r="BH221" s="470"/>
      <c r="BI221" s="471"/>
      <c r="BJ221" s="471"/>
      <c r="BK221" s="470"/>
      <c r="BL221" s="471"/>
      <c r="BM221" s="472"/>
      <c r="BN221" s="470"/>
      <c r="BO221" s="471"/>
      <c r="BP221" s="471"/>
      <c r="BQ221" s="470"/>
      <c r="BR221" s="471"/>
      <c r="BS221" s="472"/>
      <c r="BT221" s="470"/>
      <c r="BU221" s="471"/>
      <c r="BV221" s="471"/>
      <c r="BW221" s="470"/>
      <c r="BX221" s="471"/>
      <c r="BY221" s="472"/>
      <c r="BZ221" s="39">
        <v>57.8</v>
      </c>
      <c r="CA221" s="24">
        <v>20</v>
      </c>
      <c r="CB221" s="24">
        <v>-78</v>
      </c>
      <c r="CC221" s="39">
        <v>120</v>
      </c>
      <c r="CD221" s="24">
        <v>19</v>
      </c>
      <c r="CE221" s="24">
        <v>-78</v>
      </c>
      <c r="CF221" s="297">
        <v>260</v>
      </c>
      <c r="CG221" s="24">
        <v>19</v>
      </c>
      <c r="CH221" s="308">
        <v>-75</v>
      </c>
      <c r="CI221" s="470"/>
      <c r="CJ221" s="471"/>
      <c r="CK221" s="472"/>
    </row>
    <row r="222" spans="5:89" x14ac:dyDescent="0.2">
      <c r="F222" s="297">
        <v>18</v>
      </c>
      <c r="G222" s="24">
        <v>24</v>
      </c>
      <c r="H222" s="24">
        <v>-94</v>
      </c>
      <c r="I222" s="470"/>
      <c r="J222" s="471"/>
      <c r="K222" s="472"/>
      <c r="L222" s="470"/>
      <c r="M222" s="471"/>
      <c r="N222" s="471"/>
      <c r="O222" s="470"/>
      <c r="P222" s="471"/>
      <c r="Q222" s="472"/>
      <c r="R222" s="297">
        <v>48</v>
      </c>
      <c r="S222" s="24">
        <v>21</v>
      </c>
      <c r="T222" s="31">
        <v>-82</v>
      </c>
      <c r="U222" s="470"/>
      <c r="V222" s="471"/>
      <c r="W222" s="472"/>
      <c r="X222" s="470"/>
      <c r="Y222" s="471"/>
      <c r="Z222" s="471"/>
      <c r="AA222" s="470"/>
      <c r="AB222" s="471"/>
      <c r="AC222" s="472"/>
      <c r="AD222" s="39">
        <v>65</v>
      </c>
      <c r="AE222" s="24">
        <v>21</v>
      </c>
      <c r="AF222" s="95">
        <v>-78</v>
      </c>
      <c r="AG222" s="24">
        <v>135</v>
      </c>
      <c r="AH222" s="24">
        <v>21</v>
      </c>
      <c r="AI222" s="95">
        <v>-77</v>
      </c>
      <c r="AJ222" s="470"/>
      <c r="AK222" s="471"/>
      <c r="AL222" s="471"/>
      <c r="AM222" s="470"/>
      <c r="AN222" s="471"/>
      <c r="AO222" s="472"/>
      <c r="AP222" s="39">
        <v>65</v>
      </c>
      <c r="AQ222" s="24">
        <v>19</v>
      </c>
      <c r="AR222" s="24">
        <v>-77</v>
      </c>
      <c r="AS222" s="39">
        <v>135</v>
      </c>
      <c r="AT222" s="24">
        <v>18</v>
      </c>
      <c r="AU222" s="24">
        <v>-77</v>
      </c>
      <c r="AV222" s="470"/>
      <c r="AW222" s="471"/>
      <c r="AX222" s="471"/>
      <c r="AY222" s="470"/>
      <c r="AZ222" s="471"/>
      <c r="BA222" s="472"/>
      <c r="BB222" s="470"/>
      <c r="BC222" s="471"/>
      <c r="BD222" s="471"/>
      <c r="BE222" s="470"/>
      <c r="BF222" s="471"/>
      <c r="BG222" s="472"/>
      <c r="BH222" s="470"/>
      <c r="BI222" s="471"/>
      <c r="BJ222" s="471"/>
      <c r="BK222" s="470"/>
      <c r="BL222" s="471"/>
      <c r="BM222" s="472"/>
      <c r="BN222" s="470"/>
      <c r="BO222" s="471"/>
      <c r="BP222" s="471"/>
      <c r="BQ222" s="470"/>
      <c r="BR222" s="471"/>
      <c r="BS222" s="472"/>
      <c r="BT222" s="470"/>
      <c r="BU222" s="471"/>
      <c r="BV222" s="471"/>
      <c r="BW222" s="470"/>
      <c r="BX222" s="471"/>
      <c r="BY222" s="472"/>
      <c r="BZ222" s="39">
        <v>65</v>
      </c>
      <c r="CA222" s="24">
        <v>19</v>
      </c>
      <c r="CB222" s="24">
        <v>-77</v>
      </c>
      <c r="CC222" s="39">
        <v>135</v>
      </c>
      <c r="CD222" s="24">
        <v>18</v>
      </c>
      <c r="CE222" s="24">
        <v>-77</v>
      </c>
      <c r="CF222" s="297">
        <v>292.5</v>
      </c>
      <c r="CG222" s="24">
        <v>18</v>
      </c>
      <c r="CH222" s="308">
        <v>-74</v>
      </c>
      <c r="CI222" s="470"/>
      <c r="CJ222" s="471"/>
      <c r="CK222" s="472"/>
    </row>
    <row r="223" spans="5:89" x14ac:dyDescent="0.2">
      <c r="F223" s="297">
        <v>24</v>
      </c>
      <c r="G223" s="24">
        <v>24</v>
      </c>
      <c r="H223" s="24">
        <v>-94</v>
      </c>
      <c r="I223" s="470"/>
      <c r="J223" s="471"/>
      <c r="K223" s="472"/>
      <c r="L223" s="470"/>
      <c r="M223" s="471"/>
      <c r="N223" s="471"/>
      <c r="O223" s="470"/>
      <c r="P223" s="471"/>
      <c r="Q223" s="472"/>
      <c r="R223" s="297">
        <v>54</v>
      </c>
      <c r="S223" s="24">
        <v>20</v>
      </c>
      <c r="T223" s="31">
        <v>-80</v>
      </c>
      <c r="U223" s="470"/>
      <c r="V223" s="471"/>
      <c r="W223" s="472"/>
      <c r="X223" s="470"/>
      <c r="Y223" s="471"/>
      <c r="Z223" s="471"/>
      <c r="AA223" s="470"/>
      <c r="AB223" s="471"/>
      <c r="AC223" s="472"/>
      <c r="AD223" s="39">
        <v>72.2</v>
      </c>
      <c r="AE223" s="24">
        <v>19</v>
      </c>
      <c r="AF223" s="95">
        <v>-77</v>
      </c>
      <c r="AG223" s="21">
        <v>150</v>
      </c>
      <c r="AH223" s="24">
        <v>19</v>
      </c>
      <c r="AI223" s="95">
        <v>-75</v>
      </c>
      <c r="AJ223" s="470"/>
      <c r="AK223" s="471"/>
      <c r="AL223" s="471"/>
      <c r="AM223" s="470"/>
      <c r="AN223" s="471"/>
      <c r="AO223" s="472"/>
      <c r="AP223" s="39">
        <v>72.2</v>
      </c>
      <c r="AQ223" s="24">
        <v>19</v>
      </c>
      <c r="AR223" s="24">
        <v>-75</v>
      </c>
      <c r="AS223" s="39">
        <v>150</v>
      </c>
      <c r="AT223" s="24">
        <v>18</v>
      </c>
      <c r="AU223" s="24">
        <v>-75</v>
      </c>
      <c r="AV223" s="470"/>
      <c r="AW223" s="471"/>
      <c r="AX223" s="471"/>
      <c r="AY223" s="470"/>
      <c r="AZ223" s="471"/>
      <c r="BA223" s="472"/>
      <c r="BB223" s="470"/>
      <c r="BC223" s="471"/>
      <c r="BD223" s="471"/>
      <c r="BE223" s="470"/>
      <c r="BF223" s="471"/>
      <c r="BG223" s="472"/>
      <c r="BH223" s="470"/>
      <c r="BI223" s="471"/>
      <c r="BJ223" s="471"/>
      <c r="BK223" s="470"/>
      <c r="BL223" s="471"/>
      <c r="BM223" s="472"/>
      <c r="BN223" s="470"/>
      <c r="BO223" s="471"/>
      <c r="BP223" s="471"/>
      <c r="BQ223" s="470"/>
      <c r="BR223" s="471"/>
      <c r="BS223" s="472"/>
      <c r="BT223" s="470"/>
      <c r="BU223" s="471"/>
      <c r="BV223" s="471"/>
      <c r="BW223" s="470"/>
      <c r="BX223" s="471"/>
      <c r="BY223" s="472"/>
      <c r="BZ223" s="39">
        <v>72.2</v>
      </c>
      <c r="CA223" s="24">
        <v>19</v>
      </c>
      <c r="CB223" s="24">
        <v>-75</v>
      </c>
      <c r="CC223" s="39">
        <v>150</v>
      </c>
      <c r="CD223" s="24">
        <v>18</v>
      </c>
      <c r="CE223" s="24">
        <v>-75</v>
      </c>
      <c r="CF223" s="297">
        <v>325</v>
      </c>
      <c r="CG223" s="24">
        <v>18</v>
      </c>
      <c r="CH223" s="308">
        <v>-72</v>
      </c>
      <c r="CI223" s="470"/>
      <c r="CJ223" s="471"/>
      <c r="CK223" s="472"/>
    </row>
    <row r="224" spans="5:89" x14ac:dyDescent="0.2">
      <c r="F224" s="297">
        <v>36</v>
      </c>
      <c r="G224" s="24">
        <v>23</v>
      </c>
      <c r="H224" s="24">
        <v>-86</v>
      </c>
      <c r="I224" s="470"/>
      <c r="J224" s="471"/>
      <c r="K224" s="472"/>
      <c r="L224" s="470"/>
      <c r="M224" s="471"/>
      <c r="N224" s="471"/>
      <c r="O224" s="470"/>
      <c r="P224" s="471"/>
      <c r="Q224" s="472"/>
      <c r="R224" s="52"/>
      <c r="S224" s="2"/>
      <c r="T224" s="2"/>
      <c r="U224" s="470"/>
      <c r="V224" s="471"/>
      <c r="W224" s="472"/>
      <c r="X224" s="470"/>
      <c r="Y224" s="471"/>
      <c r="Z224" s="471"/>
      <c r="AA224" s="470"/>
      <c r="AB224" s="471"/>
      <c r="AC224" s="472"/>
      <c r="AD224" s="39"/>
      <c r="AE224" s="24"/>
      <c r="AF224" s="24"/>
      <c r="AG224" s="39"/>
      <c r="AH224" s="24"/>
      <c r="AI224" s="95"/>
      <c r="AJ224" s="470"/>
      <c r="AK224" s="471"/>
      <c r="AL224" s="471"/>
      <c r="AM224" s="470"/>
      <c r="AN224" s="471"/>
      <c r="AO224" s="472"/>
      <c r="AP224" s="39"/>
      <c r="AQ224" s="24"/>
      <c r="AR224" s="24"/>
      <c r="AS224" s="39"/>
      <c r="AT224" s="24"/>
      <c r="AU224" s="24"/>
      <c r="AV224" s="470"/>
      <c r="AW224" s="471"/>
      <c r="AX224" s="471"/>
      <c r="AY224" s="470"/>
      <c r="AZ224" s="471"/>
      <c r="BA224" s="472"/>
      <c r="BB224" s="470"/>
      <c r="BC224" s="471"/>
      <c r="BD224" s="471"/>
      <c r="BE224" s="470"/>
      <c r="BF224" s="471"/>
      <c r="BG224" s="472"/>
      <c r="BH224" s="470"/>
      <c r="BI224" s="471"/>
      <c r="BJ224" s="471"/>
      <c r="BK224" s="470"/>
      <c r="BL224" s="471"/>
      <c r="BM224" s="472"/>
      <c r="BN224" s="470"/>
      <c r="BO224" s="471"/>
      <c r="BP224" s="471"/>
      <c r="BQ224" s="470"/>
      <c r="BR224" s="471"/>
      <c r="BS224" s="472"/>
      <c r="BT224" s="470"/>
      <c r="BU224" s="471"/>
      <c r="BV224" s="471"/>
      <c r="BW224" s="470"/>
      <c r="BX224" s="471"/>
      <c r="BY224" s="472"/>
      <c r="BZ224" s="39">
        <v>86.7</v>
      </c>
      <c r="CA224" s="24">
        <v>18</v>
      </c>
      <c r="CB224" s="24">
        <v>-73</v>
      </c>
      <c r="CC224" s="39">
        <v>180</v>
      </c>
      <c r="CD224" s="24">
        <v>17</v>
      </c>
      <c r="CE224" s="24">
        <v>-73</v>
      </c>
      <c r="CF224" s="297">
        <v>390</v>
      </c>
      <c r="CG224" s="24">
        <v>17</v>
      </c>
      <c r="CH224" s="308">
        <v>-70</v>
      </c>
      <c r="CI224" s="470"/>
      <c r="CJ224" s="471"/>
      <c r="CK224" s="472"/>
    </row>
    <row r="225" spans="5:89" x14ac:dyDescent="0.2">
      <c r="F225" s="297">
        <v>48</v>
      </c>
      <c r="G225" s="24">
        <v>22</v>
      </c>
      <c r="H225" s="24">
        <v>-82</v>
      </c>
      <c r="I225" s="470"/>
      <c r="J225" s="471"/>
      <c r="K225" s="472"/>
      <c r="L225" s="470"/>
      <c r="M225" s="471"/>
      <c r="N225" s="471"/>
      <c r="O225" s="470"/>
      <c r="P225" s="471"/>
      <c r="Q225" s="472"/>
      <c r="R225" s="52"/>
      <c r="S225" s="31"/>
      <c r="T225" s="31"/>
      <c r="U225" s="470"/>
      <c r="V225" s="471"/>
      <c r="W225" s="472"/>
      <c r="X225" s="470"/>
      <c r="Y225" s="471"/>
      <c r="Z225" s="471"/>
      <c r="AA225" s="470"/>
      <c r="AB225" s="471"/>
      <c r="AC225" s="472"/>
      <c r="AD225" s="39"/>
      <c r="AE225" s="24"/>
      <c r="AF225" s="24"/>
      <c r="AG225" s="39"/>
      <c r="AH225" s="24"/>
      <c r="AI225" s="95"/>
      <c r="AJ225" s="470"/>
      <c r="AK225" s="471"/>
      <c r="AL225" s="471"/>
      <c r="AM225" s="470"/>
      <c r="AN225" s="471"/>
      <c r="AO225" s="472"/>
      <c r="AP225" s="39"/>
      <c r="AQ225" s="24"/>
      <c r="AR225" s="24"/>
      <c r="AS225" s="39"/>
      <c r="AT225" s="24"/>
      <c r="AU225" s="24"/>
      <c r="AV225" s="470"/>
      <c r="AW225" s="471"/>
      <c r="AX225" s="471"/>
      <c r="AY225" s="470"/>
      <c r="AZ225" s="471"/>
      <c r="BA225" s="472"/>
      <c r="BB225" s="470"/>
      <c r="BC225" s="471"/>
      <c r="BD225" s="471"/>
      <c r="BE225" s="470"/>
      <c r="BF225" s="471"/>
      <c r="BG225" s="472"/>
      <c r="BH225" s="470"/>
      <c r="BI225" s="471"/>
      <c r="BJ225" s="471"/>
      <c r="BK225" s="470"/>
      <c r="BL225" s="471"/>
      <c r="BM225" s="472"/>
      <c r="BN225" s="470"/>
      <c r="BO225" s="471"/>
      <c r="BP225" s="471"/>
      <c r="BQ225" s="470"/>
      <c r="BR225" s="471"/>
      <c r="BS225" s="472"/>
      <c r="BT225" s="470"/>
      <c r="BU225" s="471"/>
      <c r="BV225" s="471"/>
      <c r="BW225" s="470"/>
      <c r="BX225" s="471"/>
      <c r="BY225" s="472"/>
      <c r="BZ225" s="39"/>
      <c r="CA225" s="24"/>
      <c r="CB225" s="24"/>
      <c r="CC225" s="39">
        <v>200</v>
      </c>
      <c r="CD225" s="24">
        <v>17</v>
      </c>
      <c r="CE225" s="24">
        <v>-71</v>
      </c>
      <c r="CF225" s="297">
        <v>433.3</v>
      </c>
      <c r="CG225" s="24">
        <v>17</v>
      </c>
      <c r="CH225" s="308">
        <v>-68</v>
      </c>
      <c r="CI225" s="470"/>
      <c r="CJ225" s="471"/>
      <c r="CK225" s="472"/>
    </row>
    <row r="226" spans="5:89" ht="10.5" thickBot="1" x14ac:dyDescent="0.25">
      <c r="F226" s="298">
        <v>54</v>
      </c>
      <c r="G226" s="399">
        <v>21</v>
      </c>
      <c r="H226" s="399">
        <v>-80</v>
      </c>
      <c r="I226" s="473"/>
      <c r="J226" s="474"/>
      <c r="K226" s="475"/>
      <c r="L226" s="473"/>
      <c r="M226" s="474"/>
      <c r="N226" s="474"/>
      <c r="O226" s="473"/>
      <c r="P226" s="474"/>
      <c r="Q226" s="475"/>
      <c r="R226" s="54"/>
      <c r="S226" s="303"/>
      <c r="T226" s="303"/>
      <c r="U226" s="473"/>
      <c r="V226" s="474"/>
      <c r="W226" s="475"/>
      <c r="X226" s="473"/>
      <c r="Y226" s="474"/>
      <c r="Z226" s="474"/>
      <c r="AA226" s="473"/>
      <c r="AB226" s="474"/>
      <c r="AC226" s="475"/>
      <c r="AD226" s="304"/>
      <c r="AE226" s="399"/>
      <c r="AF226" s="399"/>
      <c r="AG226" s="304"/>
      <c r="AH226" s="399"/>
      <c r="AI226" s="477"/>
      <c r="AJ226" s="473"/>
      <c r="AK226" s="474"/>
      <c r="AL226" s="474"/>
      <c r="AM226" s="473"/>
      <c r="AN226" s="474"/>
      <c r="AO226" s="475"/>
      <c r="AP226" s="304"/>
      <c r="AQ226" s="399"/>
      <c r="AR226" s="399"/>
      <c r="AS226" s="304"/>
      <c r="AT226" s="399"/>
      <c r="AU226" s="399"/>
      <c r="AV226" s="473"/>
      <c r="AW226" s="474"/>
      <c r="AX226" s="474"/>
      <c r="AY226" s="473"/>
      <c r="AZ226" s="474"/>
      <c r="BA226" s="475"/>
      <c r="BB226" s="473"/>
      <c r="BC226" s="474"/>
      <c r="BD226" s="474"/>
      <c r="BE226" s="473"/>
      <c r="BF226" s="474"/>
      <c r="BG226" s="475"/>
      <c r="BH226" s="473"/>
      <c r="BI226" s="474"/>
      <c r="BJ226" s="474"/>
      <c r="BK226" s="473"/>
      <c r="BL226" s="474"/>
      <c r="BM226" s="475"/>
      <c r="BN226" s="473"/>
      <c r="BO226" s="474"/>
      <c r="BP226" s="474"/>
      <c r="BQ226" s="473"/>
      <c r="BR226" s="474"/>
      <c r="BS226" s="475"/>
      <c r="BT226" s="473"/>
      <c r="BU226" s="474"/>
      <c r="BV226" s="474"/>
      <c r="BW226" s="473"/>
      <c r="BX226" s="474"/>
      <c r="BY226" s="475"/>
      <c r="BZ226" s="304"/>
      <c r="CA226" s="399"/>
      <c r="CB226" s="399"/>
      <c r="CC226" s="304"/>
      <c r="CD226" s="399"/>
      <c r="CE226" s="399"/>
      <c r="CF226" s="298"/>
      <c r="CG226" s="399"/>
      <c r="CH226" s="478"/>
      <c r="CI226" s="473"/>
      <c r="CJ226" s="474"/>
      <c r="CK226" s="475"/>
    </row>
    <row r="228" spans="5:89" ht="10.5" x14ac:dyDescent="0.25">
      <c r="F228" s="26" t="s">
        <v>0</v>
      </c>
      <c r="G228" s="26"/>
      <c r="H228" s="449"/>
      <c r="I228" s="26"/>
      <c r="J228" s="26"/>
      <c r="K228" s="26"/>
      <c r="L228" s="26"/>
      <c r="M228" s="26"/>
      <c r="N228" s="26"/>
      <c r="O228" s="26"/>
      <c r="P228" s="26"/>
      <c r="Q228" s="26"/>
      <c r="R228" s="449" t="s">
        <v>1</v>
      </c>
      <c r="S228" s="25"/>
      <c r="T228" s="452"/>
      <c r="U228" s="25"/>
      <c r="AD228" s="450" t="s">
        <v>410</v>
      </c>
      <c r="AE228" s="450"/>
      <c r="AF228" s="451"/>
      <c r="AG228" s="450"/>
      <c r="AP228" s="450" t="s">
        <v>411</v>
      </c>
      <c r="AQ228" s="450"/>
      <c r="AR228" s="451"/>
      <c r="AS228" s="450"/>
      <c r="BB228" s="44" t="s">
        <v>223</v>
      </c>
      <c r="BD228" s="155"/>
      <c r="BN228" s="44" t="s">
        <v>351</v>
      </c>
      <c r="BZ228" s="44" t="s">
        <v>515</v>
      </c>
      <c r="CF228" s="2"/>
      <c r="CG228" s="2"/>
      <c r="CH228" s="2"/>
      <c r="CI228" s="2"/>
      <c r="CJ228" s="2"/>
      <c r="CK228" s="2"/>
    </row>
    <row r="229" spans="5:89" ht="11" thickBot="1" x14ac:dyDescent="0.3">
      <c r="F229" s="26" t="s">
        <v>113</v>
      </c>
      <c r="G229" s="26" t="s">
        <v>108</v>
      </c>
      <c r="H229" s="26" t="s">
        <v>109</v>
      </c>
      <c r="I229" s="26" t="s">
        <v>110</v>
      </c>
      <c r="J229" s="26" t="s">
        <v>111</v>
      </c>
      <c r="K229" s="26" t="s">
        <v>112</v>
      </c>
      <c r="L229" s="26"/>
      <c r="M229" s="26"/>
      <c r="N229" s="26"/>
      <c r="O229" s="26"/>
      <c r="P229" s="26"/>
      <c r="Q229" s="26"/>
      <c r="R229" s="26" t="s">
        <v>113</v>
      </c>
      <c r="S229" s="159" t="s">
        <v>108</v>
      </c>
      <c r="T229" s="159" t="s">
        <v>109</v>
      </c>
      <c r="U229" s="26" t="s">
        <v>110</v>
      </c>
      <c r="V229" s="26" t="s">
        <v>111</v>
      </c>
      <c r="W229" s="26" t="s">
        <v>112</v>
      </c>
      <c r="X229" s="26"/>
      <c r="Y229" s="26"/>
      <c r="Z229" s="26"/>
      <c r="AA229" s="26"/>
      <c r="AB229" s="26"/>
      <c r="AC229" s="26"/>
      <c r="AD229" s="159" t="s">
        <v>88</v>
      </c>
      <c r="AE229" s="159" t="s">
        <v>83</v>
      </c>
      <c r="AF229" s="159" t="s">
        <v>84</v>
      </c>
      <c r="AG229" s="159" t="s">
        <v>87</v>
      </c>
      <c r="AH229" s="159" t="s">
        <v>85</v>
      </c>
      <c r="AI229" s="159" t="s">
        <v>86</v>
      </c>
      <c r="AJ229" s="26"/>
      <c r="AK229" s="26"/>
      <c r="AL229" s="26"/>
      <c r="AM229" s="26"/>
      <c r="AN229" s="26"/>
      <c r="AO229" s="26"/>
      <c r="AP229" s="159" t="s">
        <v>88</v>
      </c>
      <c r="AQ229" s="159" t="s">
        <v>83</v>
      </c>
      <c r="AR229" s="159" t="s">
        <v>84</v>
      </c>
      <c r="AS229" s="159" t="s">
        <v>87</v>
      </c>
      <c r="AT229" s="159" t="s">
        <v>85</v>
      </c>
      <c r="AU229" s="159" t="s">
        <v>86</v>
      </c>
      <c r="AV229" s="26"/>
      <c r="AW229" s="26"/>
      <c r="AX229" s="26"/>
      <c r="AY229" s="26"/>
      <c r="AZ229" s="26"/>
      <c r="BA229" s="26"/>
      <c r="BB229" s="102" t="s">
        <v>88</v>
      </c>
      <c r="BC229" s="102" t="s">
        <v>83</v>
      </c>
      <c r="BD229" s="102" t="s">
        <v>84</v>
      </c>
      <c r="BE229" s="102" t="s">
        <v>87</v>
      </c>
      <c r="BF229" s="102" t="s">
        <v>85</v>
      </c>
      <c r="BG229" s="102" t="s">
        <v>86</v>
      </c>
      <c r="BH229" s="26"/>
      <c r="BI229" s="26"/>
      <c r="BJ229" s="26"/>
      <c r="BK229" s="26"/>
      <c r="BL229" s="26"/>
      <c r="BM229" s="26"/>
      <c r="BN229" s="102" t="s">
        <v>88</v>
      </c>
      <c r="BO229" s="102" t="s">
        <v>83</v>
      </c>
      <c r="BP229" s="102" t="s">
        <v>84</v>
      </c>
      <c r="BQ229" s="102" t="s">
        <v>87</v>
      </c>
      <c r="BR229" s="102" t="s">
        <v>85</v>
      </c>
      <c r="BS229" s="102" t="s">
        <v>86</v>
      </c>
      <c r="BT229" s="26"/>
      <c r="BU229" s="26"/>
      <c r="BV229" s="26"/>
      <c r="BW229" s="26"/>
      <c r="BX229" s="26"/>
      <c r="BY229" s="26"/>
      <c r="BZ229" s="102" t="s">
        <v>88</v>
      </c>
      <c r="CA229" s="102" t="s">
        <v>83</v>
      </c>
      <c r="CB229" s="102" t="s">
        <v>84</v>
      </c>
      <c r="CC229" s="102" t="s">
        <v>87</v>
      </c>
      <c r="CD229" s="102" t="s">
        <v>85</v>
      </c>
      <c r="CE229" s="102" t="s">
        <v>86</v>
      </c>
      <c r="CF229" s="159" t="s">
        <v>512</v>
      </c>
      <c r="CG229" s="159" t="s">
        <v>514</v>
      </c>
      <c r="CH229" s="159" t="s">
        <v>513</v>
      </c>
      <c r="CI229" s="102" t="s">
        <v>516</v>
      </c>
      <c r="CJ229" s="102" t="s">
        <v>517</v>
      </c>
      <c r="CK229" s="102" t="s">
        <v>518</v>
      </c>
    </row>
    <row r="230" spans="5:89" x14ac:dyDescent="0.2">
      <c r="E230" s="1" t="s">
        <v>579</v>
      </c>
      <c r="F230" s="293">
        <v>1</v>
      </c>
      <c r="G230" s="479">
        <v>19</v>
      </c>
      <c r="H230" s="479">
        <v>-85</v>
      </c>
      <c r="I230" s="467"/>
      <c r="J230" s="468"/>
      <c r="K230" s="469"/>
      <c r="L230" s="467"/>
      <c r="M230" s="468"/>
      <c r="N230" s="468"/>
      <c r="O230" s="467"/>
      <c r="P230" s="468"/>
      <c r="Q230" s="469"/>
      <c r="R230" s="293">
        <v>6</v>
      </c>
      <c r="S230" s="479">
        <v>14</v>
      </c>
      <c r="T230" s="484">
        <v>-77</v>
      </c>
      <c r="U230" s="467"/>
      <c r="V230" s="468"/>
      <c r="W230" s="469"/>
      <c r="X230" s="467"/>
      <c r="Y230" s="468"/>
      <c r="Z230" s="468"/>
      <c r="AA230" s="467"/>
      <c r="AB230" s="468"/>
      <c r="AC230" s="469"/>
      <c r="AD230" s="414">
        <v>7.2</v>
      </c>
      <c r="AE230" s="479">
        <v>18</v>
      </c>
      <c r="AF230" s="479">
        <v>-74</v>
      </c>
      <c r="AG230" s="483">
        <v>15</v>
      </c>
      <c r="AH230" s="479">
        <v>17</v>
      </c>
      <c r="AI230" s="480">
        <v>-71</v>
      </c>
      <c r="AJ230" s="467"/>
      <c r="AK230" s="468"/>
      <c r="AL230" s="468"/>
      <c r="AM230" s="467"/>
      <c r="AN230" s="468"/>
      <c r="AO230" s="469"/>
      <c r="AP230" s="414">
        <v>7.2</v>
      </c>
      <c r="AQ230" s="479">
        <v>15</v>
      </c>
      <c r="AR230" s="480">
        <v>-73</v>
      </c>
      <c r="AS230" s="306">
        <v>15</v>
      </c>
      <c r="AT230" s="479">
        <v>14</v>
      </c>
      <c r="AU230" s="480">
        <v>-70</v>
      </c>
      <c r="AV230" s="467"/>
      <c r="AW230" s="468"/>
      <c r="AX230" s="468"/>
      <c r="AY230" s="467"/>
      <c r="AZ230" s="468"/>
      <c r="BA230" s="469"/>
      <c r="BB230" s="467"/>
      <c r="BC230" s="468"/>
      <c r="BD230" s="468"/>
      <c r="BE230" s="467"/>
      <c r="BF230" s="468"/>
      <c r="BG230" s="469"/>
      <c r="BH230" s="467"/>
      <c r="BI230" s="468"/>
      <c r="BJ230" s="468"/>
      <c r="BK230" s="467"/>
      <c r="BL230" s="468"/>
      <c r="BM230" s="469"/>
      <c r="BN230" s="467"/>
      <c r="BO230" s="468"/>
      <c r="BP230" s="468"/>
      <c r="BQ230" s="467"/>
      <c r="BR230" s="468"/>
      <c r="BS230" s="469"/>
      <c r="BT230" s="467"/>
      <c r="BU230" s="468"/>
      <c r="BV230" s="468"/>
      <c r="BW230" s="467"/>
      <c r="BX230" s="468"/>
      <c r="BY230" s="469"/>
      <c r="BZ230" s="467"/>
      <c r="CA230" s="468"/>
      <c r="CB230" s="469"/>
      <c r="CC230" s="467"/>
      <c r="CD230" s="468"/>
      <c r="CE230" s="469"/>
      <c r="CF230" s="467"/>
      <c r="CG230" s="468"/>
      <c r="CH230" s="469"/>
      <c r="CI230" s="467"/>
      <c r="CJ230" s="468"/>
      <c r="CK230" s="469"/>
    </row>
    <row r="231" spans="5:89" x14ac:dyDescent="0.2">
      <c r="E231" s="458" t="s">
        <v>580</v>
      </c>
      <c r="F231" s="296">
        <v>5.5</v>
      </c>
      <c r="G231" s="481">
        <v>19</v>
      </c>
      <c r="H231" s="481">
        <v>-85</v>
      </c>
      <c r="I231" s="470"/>
      <c r="J231" s="471"/>
      <c r="K231" s="472"/>
      <c r="L231" s="470"/>
      <c r="M231" s="471"/>
      <c r="N231" s="471"/>
      <c r="O231" s="470"/>
      <c r="P231" s="471"/>
      <c r="Q231" s="472"/>
      <c r="R231" s="297">
        <v>9</v>
      </c>
      <c r="S231" s="481">
        <v>14</v>
      </c>
      <c r="T231" s="485">
        <v>-77</v>
      </c>
      <c r="U231" s="470"/>
      <c r="V231" s="471"/>
      <c r="W231" s="472"/>
      <c r="X231" s="470"/>
      <c r="Y231" s="471"/>
      <c r="Z231" s="471"/>
      <c r="AA231" s="470"/>
      <c r="AB231" s="471"/>
      <c r="AC231" s="472"/>
      <c r="AD231" s="39">
        <v>14.4</v>
      </c>
      <c r="AE231" s="481">
        <v>18</v>
      </c>
      <c r="AF231" s="481">
        <v>-74</v>
      </c>
      <c r="AG231" s="21">
        <v>30</v>
      </c>
      <c r="AH231" s="481">
        <v>17</v>
      </c>
      <c r="AI231" s="482">
        <v>-71</v>
      </c>
      <c r="AJ231" s="470"/>
      <c r="AK231" s="471"/>
      <c r="AL231" s="471"/>
      <c r="AM231" s="470"/>
      <c r="AN231" s="471"/>
      <c r="AO231" s="472"/>
      <c r="AP231" s="39">
        <v>14.4</v>
      </c>
      <c r="AQ231" s="481">
        <v>15</v>
      </c>
      <c r="AR231" s="482">
        <v>-73</v>
      </c>
      <c r="AS231" s="24">
        <v>30</v>
      </c>
      <c r="AT231" s="481">
        <v>14</v>
      </c>
      <c r="AU231" s="482">
        <v>-70</v>
      </c>
      <c r="AV231" s="470"/>
      <c r="AW231" s="471"/>
      <c r="AX231" s="471"/>
      <c r="AY231" s="470"/>
      <c r="AZ231" s="471"/>
      <c r="BA231" s="472"/>
      <c r="BB231" s="470"/>
      <c r="BC231" s="471"/>
      <c r="BD231" s="471"/>
      <c r="BE231" s="470"/>
      <c r="BF231" s="471"/>
      <c r="BG231" s="472"/>
      <c r="BH231" s="470"/>
      <c r="BI231" s="471"/>
      <c r="BJ231" s="471"/>
      <c r="BK231" s="470"/>
      <c r="BL231" s="471"/>
      <c r="BM231" s="472"/>
      <c r="BN231" s="470"/>
      <c r="BO231" s="471"/>
      <c r="BP231" s="471"/>
      <c r="BQ231" s="470"/>
      <c r="BR231" s="471"/>
      <c r="BS231" s="472"/>
      <c r="BT231" s="470"/>
      <c r="BU231" s="471"/>
      <c r="BV231" s="471"/>
      <c r="BW231" s="470"/>
      <c r="BX231" s="471"/>
      <c r="BY231" s="472"/>
      <c r="BZ231" s="470"/>
      <c r="CA231" s="471"/>
      <c r="CB231" s="472"/>
      <c r="CC231" s="470"/>
      <c r="CD231" s="471"/>
      <c r="CE231" s="472"/>
      <c r="CF231" s="470"/>
      <c r="CG231" s="471"/>
      <c r="CH231" s="472"/>
      <c r="CI231" s="470"/>
      <c r="CJ231" s="471"/>
      <c r="CK231" s="472"/>
    </row>
    <row r="232" spans="5:89" x14ac:dyDescent="0.2">
      <c r="F232" s="297">
        <v>6</v>
      </c>
      <c r="G232" s="481">
        <v>19</v>
      </c>
      <c r="H232" s="481">
        <v>-85</v>
      </c>
      <c r="I232" s="470"/>
      <c r="J232" s="471"/>
      <c r="K232" s="472"/>
      <c r="L232" s="470"/>
      <c r="M232" s="471"/>
      <c r="N232" s="471"/>
      <c r="O232" s="470"/>
      <c r="P232" s="471"/>
      <c r="Q232" s="472"/>
      <c r="R232" s="297">
        <v>12</v>
      </c>
      <c r="S232" s="481">
        <v>14</v>
      </c>
      <c r="T232" s="485">
        <v>-77</v>
      </c>
      <c r="U232" s="470"/>
      <c r="V232" s="471"/>
      <c r="W232" s="472"/>
      <c r="X232" s="470"/>
      <c r="Y232" s="471"/>
      <c r="Z232" s="471"/>
      <c r="AA232" s="470"/>
      <c r="AB232" s="471"/>
      <c r="AC232" s="472"/>
      <c r="AD232" s="39">
        <v>21.7</v>
      </c>
      <c r="AE232" s="481">
        <v>18</v>
      </c>
      <c r="AF232" s="481">
        <v>-74</v>
      </c>
      <c r="AG232" s="21">
        <v>45</v>
      </c>
      <c r="AH232" s="481">
        <v>17</v>
      </c>
      <c r="AI232" s="482">
        <v>-71</v>
      </c>
      <c r="AJ232" s="470"/>
      <c r="AK232" s="471"/>
      <c r="AL232" s="471"/>
      <c r="AM232" s="470"/>
      <c r="AN232" s="471"/>
      <c r="AO232" s="472"/>
      <c r="AP232" s="39">
        <v>21.7</v>
      </c>
      <c r="AQ232" s="481">
        <v>15</v>
      </c>
      <c r="AR232" s="482">
        <v>-73</v>
      </c>
      <c r="AS232" s="24">
        <v>45</v>
      </c>
      <c r="AT232" s="481">
        <v>14</v>
      </c>
      <c r="AU232" s="482">
        <v>-70</v>
      </c>
      <c r="AV232" s="470"/>
      <c r="AW232" s="471"/>
      <c r="AX232" s="471"/>
      <c r="AY232" s="470"/>
      <c r="AZ232" s="471"/>
      <c r="BA232" s="472"/>
      <c r="BB232" s="470"/>
      <c r="BC232" s="471"/>
      <c r="BD232" s="471"/>
      <c r="BE232" s="470"/>
      <c r="BF232" s="471"/>
      <c r="BG232" s="472"/>
      <c r="BH232" s="470"/>
      <c r="BI232" s="471"/>
      <c r="BJ232" s="471"/>
      <c r="BK232" s="470"/>
      <c r="BL232" s="471"/>
      <c r="BM232" s="472"/>
      <c r="BN232" s="470"/>
      <c r="BO232" s="471"/>
      <c r="BP232" s="471"/>
      <c r="BQ232" s="470"/>
      <c r="BR232" s="471"/>
      <c r="BS232" s="472"/>
      <c r="BT232" s="470"/>
      <c r="BU232" s="471"/>
      <c r="BV232" s="471"/>
      <c r="BW232" s="470"/>
      <c r="BX232" s="471"/>
      <c r="BY232" s="472"/>
      <c r="BZ232" s="470"/>
      <c r="CA232" s="471"/>
      <c r="CB232" s="472"/>
      <c r="CC232" s="470"/>
      <c r="CD232" s="471"/>
      <c r="CE232" s="472"/>
      <c r="CF232" s="470"/>
      <c r="CG232" s="471"/>
      <c r="CH232" s="472"/>
      <c r="CI232" s="470"/>
      <c r="CJ232" s="471"/>
      <c r="CK232" s="472"/>
    </row>
    <row r="233" spans="5:89" x14ac:dyDescent="0.2">
      <c r="F233" s="297">
        <v>9</v>
      </c>
      <c r="G233" s="481">
        <v>19</v>
      </c>
      <c r="H233" s="481">
        <v>-85</v>
      </c>
      <c r="I233" s="470"/>
      <c r="J233" s="471"/>
      <c r="K233" s="472"/>
      <c r="L233" s="470"/>
      <c r="M233" s="471"/>
      <c r="N233" s="471"/>
      <c r="O233" s="470"/>
      <c r="P233" s="471"/>
      <c r="Q233" s="472"/>
      <c r="R233" s="297">
        <v>18</v>
      </c>
      <c r="S233" s="481">
        <v>14</v>
      </c>
      <c r="T233" s="485">
        <v>-77</v>
      </c>
      <c r="U233" s="470"/>
      <c r="V233" s="471"/>
      <c r="W233" s="472"/>
      <c r="X233" s="470"/>
      <c r="Y233" s="471"/>
      <c r="Z233" s="471"/>
      <c r="AA233" s="470"/>
      <c r="AB233" s="471"/>
      <c r="AC233" s="472"/>
      <c r="AD233" s="39">
        <v>28.9</v>
      </c>
      <c r="AE233" s="481">
        <v>18</v>
      </c>
      <c r="AF233" s="481">
        <v>-74</v>
      </c>
      <c r="AG233" s="21">
        <v>60</v>
      </c>
      <c r="AH233" s="481">
        <v>17</v>
      </c>
      <c r="AI233" s="482">
        <v>-71</v>
      </c>
      <c r="AJ233" s="470"/>
      <c r="AK233" s="471"/>
      <c r="AL233" s="471"/>
      <c r="AM233" s="470"/>
      <c r="AN233" s="471"/>
      <c r="AO233" s="472"/>
      <c r="AP233" s="39">
        <v>28.9</v>
      </c>
      <c r="AQ233" s="481">
        <v>15</v>
      </c>
      <c r="AR233" s="482">
        <v>-73</v>
      </c>
      <c r="AS233" s="24">
        <v>60</v>
      </c>
      <c r="AT233" s="481">
        <v>14</v>
      </c>
      <c r="AU233" s="482">
        <v>-70</v>
      </c>
      <c r="AV233" s="470"/>
      <c r="AW233" s="471"/>
      <c r="AX233" s="471"/>
      <c r="AY233" s="470"/>
      <c r="AZ233" s="471"/>
      <c r="BA233" s="472"/>
      <c r="BB233" s="470"/>
      <c r="BC233" s="471"/>
      <c r="BD233" s="471"/>
      <c r="BE233" s="470"/>
      <c r="BF233" s="471"/>
      <c r="BG233" s="472"/>
      <c r="BH233" s="470"/>
      <c r="BI233" s="471"/>
      <c r="BJ233" s="471"/>
      <c r="BK233" s="470"/>
      <c r="BL233" s="471"/>
      <c r="BM233" s="472"/>
      <c r="BN233" s="470"/>
      <c r="BO233" s="471"/>
      <c r="BP233" s="471"/>
      <c r="BQ233" s="470"/>
      <c r="BR233" s="471"/>
      <c r="BS233" s="472"/>
      <c r="BT233" s="470"/>
      <c r="BU233" s="471"/>
      <c r="BV233" s="471"/>
      <c r="BW233" s="470"/>
      <c r="BX233" s="471"/>
      <c r="BY233" s="472"/>
      <c r="BZ233" s="470"/>
      <c r="CA233" s="471"/>
      <c r="CB233" s="472"/>
      <c r="CC233" s="470"/>
      <c r="CD233" s="471"/>
      <c r="CE233" s="472"/>
      <c r="CF233" s="470"/>
      <c r="CG233" s="471"/>
      <c r="CH233" s="472"/>
      <c r="CI233" s="470"/>
      <c r="CJ233" s="471"/>
      <c r="CK233" s="472"/>
    </row>
    <row r="234" spans="5:89" x14ac:dyDescent="0.2">
      <c r="F234" s="297">
        <v>11</v>
      </c>
      <c r="G234" s="481">
        <v>19</v>
      </c>
      <c r="H234" s="481">
        <v>-85</v>
      </c>
      <c r="I234" s="470"/>
      <c r="J234" s="471"/>
      <c r="K234" s="472"/>
      <c r="L234" s="470"/>
      <c r="M234" s="471"/>
      <c r="N234" s="471"/>
      <c r="O234" s="470"/>
      <c r="P234" s="471"/>
      <c r="Q234" s="472"/>
      <c r="R234" s="297">
        <v>24</v>
      </c>
      <c r="S234" s="481">
        <v>14</v>
      </c>
      <c r="T234" s="485">
        <v>-77</v>
      </c>
      <c r="U234" s="470"/>
      <c r="V234" s="471"/>
      <c r="W234" s="472"/>
      <c r="X234" s="470"/>
      <c r="Y234" s="471"/>
      <c r="Z234" s="471"/>
      <c r="AA234" s="470"/>
      <c r="AB234" s="471"/>
      <c r="AC234" s="472"/>
      <c r="AD234" s="39">
        <v>43.3</v>
      </c>
      <c r="AE234" s="481">
        <v>18</v>
      </c>
      <c r="AF234" s="481">
        <v>-74</v>
      </c>
      <c r="AG234" s="21">
        <v>90</v>
      </c>
      <c r="AH234" s="481">
        <v>17</v>
      </c>
      <c r="AI234" s="482">
        <v>-71</v>
      </c>
      <c r="AJ234" s="470"/>
      <c r="AK234" s="471"/>
      <c r="AL234" s="471"/>
      <c r="AM234" s="470"/>
      <c r="AN234" s="471"/>
      <c r="AO234" s="472"/>
      <c r="AP234" s="39">
        <v>43.3</v>
      </c>
      <c r="AQ234" s="481">
        <v>15</v>
      </c>
      <c r="AR234" s="482">
        <v>-73</v>
      </c>
      <c r="AS234" s="24">
        <v>90</v>
      </c>
      <c r="AT234" s="481">
        <v>14</v>
      </c>
      <c r="AU234" s="482">
        <v>-70</v>
      </c>
      <c r="AV234" s="470"/>
      <c r="AW234" s="471"/>
      <c r="AX234" s="471"/>
      <c r="AY234" s="470"/>
      <c r="AZ234" s="471"/>
      <c r="BA234" s="472"/>
      <c r="BB234" s="470"/>
      <c r="BC234" s="471"/>
      <c r="BD234" s="471"/>
      <c r="BE234" s="470"/>
      <c r="BF234" s="471"/>
      <c r="BG234" s="472"/>
      <c r="BH234" s="470"/>
      <c r="BI234" s="471"/>
      <c r="BJ234" s="471"/>
      <c r="BK234" s="470"/>
      <c r="BL234" s="471"/>
      <c r="BM234" s="472"/>
      <c r="BN234" s="470"/>
      <c r="BO234" s="471"/>
      <c r="BP234" s="471"/>
      <c r="BQ234" s="470"/>
      <c r="BR234" s="471"/>
      <c r="BS234" s="472"/>
      <c r="BT234" s="470"/>
      <c r="BU234" s="471"/>
      <c r="BV234" s="471"/>
      <c r="BW234" s="470"/>
      <c r="BX234" s="471"/>
      <c r="BY234" s="472"/>
      <c r="BZ234" s="470"/>
      <c r="CA234" s="471"/>
      <c r="CB234" s="472"/>
      <c r="CC234" s="470"/>
      <c r="CD234" s="471"/>
      <c r="CE234" s="472"/>
      <c r="CF234" s="470"/>
      <c r="CG234" s="471"/>
      <c r="CH234" s="472"/>
      <c r="CI234" s="470"/>
      <c r="CJ234" s="471"/>
      <c r="CK234" s="472"/>
    </row>
    <row r="235" spans="5:89" x14ac:dyDescent="0.2">
      <c r="F235" s="297">
        <v>12</v>
      </c>
      <c r="G235" s="481">
        <v>19</v>
      </c>
      <c r="H235" s="481">
        <v>-85</v>
      </c>
      <c r="I235" s="470"/>
      <c r="J235" s="471"/>
      <c r="K235" s="472"/>
      <c r="L235" s="470"/>
      <c r="M235" s="471"/>
      <c r="N235" s="471"/>
      <c r="O235" s="470"/>
      <c r="P235" s="471"/>
      <c r="Q235" s="472"/>
      <c r="R235" s="297">
        <v>36</v>
      </c>
      <c r="S235" s="481">
        <v>14</v>
      </c>
      <c r="T235" s="485">
        <v>-77</v>
      </c>
      <c r="U235" s="470"/>
      <c r="V235" s="471"/>
      <c r="W235" s="472"/>
      <c r="X235" s="470"/>
      <c r="Y235" s="471"/>
      <c r="Z235" s="471"/>
      <c r="AA235" s="470"/>
      <c r="AB235" s="471"/>
      <c r="AC235" s="472"/>
      <c r="AD235" s="39">
        <v>57.8</v>
      </c>
      <c r="AE235" s="481">
        <v>18</v>
      </c>
      <c r="AF235" s="481">
        <v>-74</v>
      </c>
      <c r="AG235" s="21">
        <v>120</v>
      </c>
      <c r="AH235" s="481">
        <v>17</v>
      </c>
      <c r="AI235" s="482">
        <v>-71</v>
      </c>
      <c r="AJ235" s="470"/>
      <c r="AK235" s="471"/>
      <c r="AL235" s="471"/>
      <c r="AM235" s="470"/>
      <c r="AN235" s="471"/>
      <c r="AO235" s="472"/>
      <c r="AP235" s="39">
        <v>57.8</v>
      </c>
      <c r="AQ235" s="481">
        <v>15</v>
      </c>
      <c r="AR235" s="482">
        <v>-73</v>
      </c>
      <c r="AS235" s="24">
        <v>120</v>
      </c>
      <c r="AT235" s="481">
        <v>14</v>
      </c>
      <c r="AU235" s="482">
        <v>-70</v>
      </c>
      <c r="AV235" s="470"/>
      <c r="AW235" s="471"/>
      <c r="AX235" s="471"/>
      <c r="AY235" s="470"/>
      <c r="AZ235" s="471"/>
      <c r="BA235" s="472"/>
      <c r="BB235" s="470"/>
      <c r="BC235" s="471"/>
      <c r="BD235" s="471"/>
      <c r="BE235" s="470"/>
      <c r="BF235" s="471"/>
      <c r="BG235" s="472"/>
      <c r="BH235" s="470"/>
      <c r="BI235" s="471"/>
      <c r="BJ235" s="471"/>
      <c r="BK235" s="470"/>
      <c r="BL235" s="471"/>
      <c r="BM235" s="472"/>
      <c r="BN235" s="470"/>
      <c r="BO235" s="471"/>
      <c r="BP235" s="471"/>
      <c r="BQ235" s="470"/>
      <c r="BR235" s="471"/>
      <c r="BS235" s="472"/>
      <c r="BT235" s="470"/>
      <c r="BU235" s="471"/>
      <c r="BV235" s="471"/>
      <c r="BW235" s="470"/>
      <c r="BX235" s="471"/>
      <c r="BY235" s="472"/>
      <c r="BZ235" s="470"/>
      <c r="CA235" s="471"/>
      <c r="CB235" s="472"/>
      <c r="CC235" s="470"/>
      <c r="CD235" s="471"/>
      <c r="CE235" s="472"/>
      <c r="CF235" s="470"/>
      <c r="CG235" s="471"/>
      <c r="CH235" s="472"/>
      <c r="CI235" s="470"/>
      <c r="CJ235" s="471"/>
      <c r="CK235" s="472"/>
    </row>
    <row r="236" spans="5:89" x14ac:dyDescent="0.2">
      <c r="F236" s="297">
        <v>18</v>
      </c>
      <c r="G236" s="481">
        <v>16</v>
      </c>
      <c r="H236" s="481">
        <v>-77</v>
      </c>
      <c r="I236" s="470"/>
      <c r="J236" s="471"/>
      <c r="K236" s="472"/>
      <c r="L236" s="470"/>
      <c r="M236" s="471"/>
      <c r="N236" s="471"/>
      <c r="O236" s="470"/>
      <c r="P236" s="471"/>
      <c r="Q236" s="472"/>
      <c r="R236" s="297">
        <v>48</v>
      </c>
      <c r="S236" s="481">
        <v>14</v>
      </c>
      <c r="T236" s="485">
        <v>-77</v>
      </c>
      <c r="U236" s="470"/>
      <c r="V236" s="471"/>
      <c r="W236" s="472"/>
      <c r="X236" s="470"/>
      <c r="Y236" s="471"/>
      <c r="Z236" s="471"/>
      <c r="AA236" s="470"/>
      <c r="AB236" s="471"/>
      <c r="AC236" s="472"/>
      <c r="AD236" s="39">
        <v>65</v>
      </c>
      <c r="AE236" s="481">
        <v>18</v>
      </c>
      <c r="AF236" s="481">
        <v>-74</v>
      </c>
      <c r="AG236" s="21">
        <v>135</v>
      </c>
      <c r="AH236" s="481">
        <v>17</v>
      </c>
      <c r="AI236" s="482">
        <v>-71</v>
      </c>
      <c r="AJ236" s="470"/>
      <c r="AK236" s="471"/>
      <c r="AL236" s="471"/>
      <c r="AM236" s="470"/>
      <c r="AN236" s="471"/>
      <c r="AO236" s="472"/>
      <c r="AP236" s="39">
        <v>65</v>
      </c>
      <c r="AQ236" s="481">
        <v>15</v>
      </c>
      <c r="AR236" s="482">
        <v>-73</v>
      </c>
      <c r="AS236" s="24">
        <v>135</v>
      </c>
      <c r="AT236" s="481">
        <v>14</v>
      </c>
      <c r="AU236" s="482">
        <v>-70</v>
      </c>
      <c r="AV236" s="470"/>
      <c r="AW236" s="471"/>
      <c r="AX236" s="471"/>
      <c r="AY236" s="470"/>
      <c r="AZ236" s="471"/>
      <c r="BA236" s="472"/>
      <c r="BB236" s="470"/>
      <c r="BC236" s="471"/>
      <c r="BD236" s="471"/>
      <c r="BE236" s="470"/>
      <c r="BF236" s="471"/>
      <c r="BG236" s="472"/>
      <c r="BH236" s="470"/>
      <c r="BI236" s="471"/>
      <c r="BJ236" s="471"/>
      <c r="BK236" s="470"/>
      <c r="BL236" s="471"/>
      <c r="BM236" s="472"/>
      <c r="BN236" s="470"/>
      <c r="BO236" s="471"/>
      <c r="BP236" s="471"/>
      <c r="BQ236" s="470"/>
      <c r="BR236" s="471"/>
      <c r="BS236" s="472"/>
      <c r="BT236" s="470"/>
      <c r="BU236" s="471"/>
      <c r="BV236" s="471"/>
      <c r="BW236" s="470"/>
      <c r="BX236" s="471"/>
      <c r="BY236" s="472"/>
      <c r="BZ236" s="470"/>
      <c r="CA236" s="471"/>
      <c r="CB236" s="472"/>
      <c r="CC236" s="470"/>
      <c r="CD236" s="471"/>
      <c r="CE236" s="472"/>
      <c r="CF236" s="470"/>
      <c r="CG236" s="471"/>
      <c r="CH236" s="472"/>
      <c r="CI236" s="470"/>
      <c r="CJ236" s="471"/>
      <c r="CK236" s="472"/>
    </row>
    <row r="237" spans="5:89" x14ac:dyDescent="0.2">
      <c r="F237" s="297">
        <v>24</v>
      </c>
      <c r="G237" s="481">
        <v>16</v>
      </c>
      <c r="H237" s="481">
        <v>-77</v>
      </c>
      <c r="I237" s="470"/>
      <c r="J237" s="471"/>
      <c r="K237" s="472"/>
      <c r="L237" s="470"/>
      <c r="M237" s="471"/>
      <c r="N237" s="471"/>
      <c r="O237" s="470"/>
      <c r="P237" s="471"/>
      <c r="Q237" s="472"/>
      <c r="R237" s="297">
        <v>54</v>
      </c>
      <c r="S237" s="481">
        <v>14</v>
      </c>
      <c r="T237" s="485">
        <v>-77</v>
      </c>
      <c r="U237" s="470"/>
      <c r="V237" s="471"/>
      <c r="W237" s="472"/>
      <c r="X237" s="470"/>
      <c r="Y237" s="471"/>
      <c r="Z237" s="471"/>
      <c r="AA237" s="470"/>
      <c r="AB237" s="471"/>
      <c r="AC237" s="472"/>
      <c r="AD237" s="39">
        <v>72.2</v>
      </c>
      <c r="AE237" s="481">
        <v>18</v>
      </c>
      <c r="AF237" s="481">
        <v>-74</v>
      </c>
      <c r="AG237" s="21">
        <v>150</v>
      </c>
      <c r="AH237" s="481">
        <v>17</v>
      </c>
      <c r="AI237" s="482">
        <v>-71</v>
      </c>
      <c r="AJ237" s="470"/>
      <c r="AK237" s="471"/>
      <c r="AL237" s="471"/>
      <c r="AM237" s="470"/>
      <c r="AN237" s="471"/>
      <c r="AO237" s="472"/>
      <c r="AP237" s="39">
        <v>72.2</v>
      </c>
      <c r="AQ237" s="481">
        <v>15</v>
      </c>
      <c r="AR237" s="482">
        <v>-73</v>
      </c>
      <c r="AS237" s="21">
        <v>150</v>
      </c>
      <c r="AT237" s="481">
        <v>14</v>
      </c>
      <c r="AU237" s="482">
        <v>-70</v>
      </c>
      <c r="AV237" s="470"/>
      <c r="AW237" s="471"/>
      <c r="AX237" s="471"/>
      <c r="AY237" s="470"/>
      <c r="AZ237" s="471"/>
      <c r="BA237" s="472"/>
      <c r="BB237" s="470"/>
      <c r="BC237" s="471"/>
      <c r="BD237" s="471"/>
      <c r="BE237" s="470"/>
      <c r="BF237" s="471"/>
      <c r="BG237" s="472"/>
      <c r="BH237" s="470"/>
      <c r="BI237" s="471"/>
      <c r="BJ237" s="471"/>
      <c r="BK237" s="470"/>
      <c r="BL237" s="471"/>
      <c r="BM237" s="472"/>
      <c r="BN237" s="470"/>
      <c r="BO237" s="471"/>
      <c r="BP237" s="471"/>
      <c r="BQ237" s="470"/>
      <c r="BR237" s="471"/>
      <c r="BS237" s="472"/>
      <c r="BT237" s="470"/>
      <c r="BU237" s="471"/>
      <c r="BV237" s="471"/>
      <c r="BW237" s="470"/>
      <c r="BX237" s="471"/>
      <c r="BY237" s="472"/>
      <c r="BZ237" s="470"/>
      <c r="CA237" s="471"/>
      <c r="CB237" s="472"/>
      <c r="CC237" s="470"/>
      <c r="CD237" s="471"/>
      <c r="CE237" s="472"/>
      <c r="CF237" s="470"/>
      <c r="CG237" s="471"/>
      <c r="CH237" s="472"/>
      <c r="CI237" s="470"/>
      <c r="CJ237" s="471"/>
      <c r="CK237" s="472"/>
    </row>
    <row r="238" spans="5:89" x14ac:dyDescent="0.2">
      <c r="F238" s="297">
        <v>36</v>
      </c>
      <c r="G238" s="481">
        <v>16</v>
      </c>
      <c r="H238" s="481">
        <v>-77</v>
      </c>
      <c r="I238" s="470"/>
      <c r="J238" s="471"/>
      <c r="K238" s="472"/>
      <c r="L238" s="470"/>
      <c r="M238" s="471"/>
      <c r="N238" s="471"/>
      <c r="O238" s="470"/>
      <c r="P238" s="471"/>
      <c r="Q238" s="472"/>
      <c r="R238" s="52"/>
      <c r="S238" s="2"/>
      <c r="T238" s="2"/>
      <c r="U238" s="470"/>
      <c r="V238" s="471"/>
      <c r="W238" s="472"/>
      <c r="X238" s="470"/>
      <c r="Y238" s="471"/>
      <c r="Z238" s="471"/>
      <c r="AA238" s="470"/>
      <c r="AB238" s="471"/>
      <c r="AC238" s="472"/>
      <c r="AD238" s="39"/>
      <c r="AE238" s="24"/>
      <c r="AF238" s="24"/>
      <c r="AG238" s="39"/>
      <c r="AH238" s="24"/>
      <c r="AI238" s="95"/>
      <c r="AJ238" s="470"/>
      <c r="AK238" s="471"/>
      <c r="AL238" s="471"/>
      <c r="AM238" s="470"/>
      <c r="AN238" s="471"/>
      <c r="AO238" s="472"/>
      <c r="AP238" s="39"/>
      <c r="AQ238" s="2"/>
      <c r="AR238" s="10"/>
      <c r="AS238" s="2"/>
      <c r="AT238" s="2"/>
      <c r="AU238" s="53"/>
      <c r="AV238" s="470"/>
      <c r="AW238" s="471"/>
      <c r="AX238" s="471"/>
      <c r="AY238" s="470"/>
      <c r="AZ238" s="471"/>
      <c r="BA238" s="472"/>
      <c r="BB238" s="470"/>
      <c r="BC238" s="471"/>
      <c r="BD238" s="471"/>
      <c r="BE238" s="470"/>
      <c r="BF238" s="471"/>
      <c r="BG238" s="472"/>
      <c r="BH238" s="470"/>
      <c r="BI238" s="471"/>
      <c r="BJ238" s="471"/>
      <c r="BK238" s="470"/>
      <c r="BL238" s="471"/>
      <c r="BM238" s="472"/>
      <c r="BN238" s="470"/>
      <c r="BO238" s="471"/>
      <c r="BP238" s="471"/>
      <c r="BQ238" s="470"/>
      <c r="BR238" s="471"/>
      <c r="BS238" s="472"/>
      <c r="BT238" s="470"/>
      <c r="BU238" s="471"/>
      <c r="BV238" s="471"/>
      <c r="BW238" s="470"/>
      <c r="BX238" s="471"/>
      <c r="BY238" s="472"/>
      <c r="BZ238" s="470"/>
      <c r="CA238" s="471"/>
      <c r="CB238" s="472"/>
      <c r="CC238" s="470"/>
      <c r="CD238" s="471"/>
      <c r="CE238" s="472"/>
      <c r="CF238" s="470"/>
      <c r="CG238" s="471"/>
      <c r="CH238" s="472"/>
      <c r="CI238" s="470"/>
      <c r="CJ238" s="471"/>
      <c r="CK238" s="472"/>
    </row>
    <row r="239" spans="5:89" x14ac:dyDescent="0.2">
      <c r="F239" s="297">
        <v>48</v>
      </c>
      <c r="G239" s="481">
        <v>16</v>
      </c>
      <c r="H239" s="481">
        <v>-77</v>
      </c>
      <c r="I239" s="470"/>
      <c r="J239" s="471"/>
      <c r="K239" s="472"/>
      <c r="L239" s="470"/>
      <c r="M239" s="471"/>
      <c r="N239" s="471"/>
      <c r="O239" s="470"/>
      <c r="P239" s="471"/>
      <c r="Q239" s="472"/>
      <c r="R239" s="52"/>
      <c r="S239" s="31"/>
      <c r="T239" s="31"/>
      <c r="U239" s="470"/>
      <c r="V239" s="471"/>
      <c r="W239" s="472"/>
      <c r="X239" s="470"/>
      <c r="Y239" s="471"/>
      <c r="Z239" s="471"/>
      <c r="AA239" s="470"/>
      <c r="AB239" s="471"/>
      <c r="AC239" s="472"/>
      <c r="AD239" s="39"/>
      <c r="AE239" s="24"/>
      <c r="AF239" s="24"/>
      <c r="AG239" s="39"/>
      <c r="AH239" s="24"/>
      <c r="AI239" s="95"/>
      <c r="AJ239" s="470"/>
      <c r="AK239" s="471"/>
      <c r="AL239" s="471"/>
      <c r="AM239" s="470"/>
      <c r="AN239" s="471"/>
      <c r="AO239" s="472"/>
      <c r="AP239" s="52"/>
      <c r="AQ239" s="2"/>
      <c r="AR239" s="10"/>
      <c r="AS239" s="2"/>
      <c r="AT239" s="2"/>
      <c r="AU239" s="53"/>
      <c r="AV239" s="470"/>
      <c r="AW239" s="471"/>
      <c r="AX239" s="471"/>
      <c r="AY239" s="470"/>
      <c r="AZ239" s="471"/>
      <c r="BA239" s="472"/>
      <c r="BB239" s="470"/>
      <c r="BC239" s="471"/>
      <c r="BD239" s="471"/>
      <c r="BE239" s="470"/>
      <c r="BF239" s="471"/>
      <c r="BG239" s="472"/>
      <c r="BH239" s="470"/>
      <c r="BI239" s="471"/>
      <c r="BJ239" s="471"/>
      <c r="BK239" s="470"/>
      <c r="BL239" s="471"/>
      <c r="BM239" s="472"/>
      <c r="BN239" s="470"/>
      <c r="BO239" s="471"/>
      <c r="BP239" s="471"/>
      <c r="BQ239" s="470"/>
      <c r="BR239" s="471"/>
      <c r="BS239" s="472"/>
      <c r="BT239" s="470"/>
      <c r="BU239" s="471"/>
      <c r="BV239" s="471"/>
      <c r="BW239" s="470"/>
      <c r="BX239" s="471"/>
      <c r="BY239" s="472"/>
      <c r="BZ239" s="470"/>
      <c r="CA239" s="471"/>
      <c r="CB239" s="472"/>
      <c r="CC239" s="470"/>
      <c r="CD239" s="471"/>
      <c r="CE239" s="472"/>
      <c r="CF239" s="470"/>
      <c r="CG239" s="471"/>
      <c r="CH239" s="472"/>
      <c r="CI239" s="470"/>
      <c r="CJ239" s="471"/>
      <c r="CK239" s="472"/>
    </row>
    <row r="240" spans="5:89" ht="10.5" thickBot="1" x14ac:dyDescent="0.25">
      <c r="F240" s="298">
        <v>54</v>
      </c>
      <c r="G240" s="486">
        <v>16</v>
      </c>
      <c r="H240" s="486">
        <v>-77</v>
      </c>
      <c r="I240" s="473"/>
      <c r="J240" s="474"/>
      <c r="K240" s="475"/>
      <c r="L240" s="473"/>
      <c r="M240" s="474"/>
      <c r="N240" s="474"/>
      <c r="O240" s="473"/>
      <c r="P240" s="474"/>
      <c r="Q240" s="475"/>
      <c r="R240" s="54"/>
      <c r="S240" s="303"/>
      <c r="T240" s="303"/>
      <c r="U240" s="473"/>
      <c r="V240" s="474"/>
      <c r="W240" s="475"/>
      <c r="X240" s="473"/>
      <c r="Y240" s="474"/>
      <c r="Z240" s="474"/>
      <c r="AA240" s="473"/>
      <c r="AB240" s="474"/>
      <c r="AC240" s="475"/>
      <c r="AD240" s="304"/>
      <c r="AE240" s="399"/>
      <c r="AF240" s="399"/>
      <c r="AG240" s="304"/>
      <c r="AH240" s="399"/>
      <c r="AI240" s="477"/>
      <c r="AJ240" s="473"/>
      <c r="AK240" s="474"/>
      <c r="AL240" s="474"/>
      <c r="AM240" s="473"/>
      <c r="AN240" s="474"/>
      <c r="AO240" s="475"/>
      <c r="AP240" s="54"/>
      <c r="AQ240" s="55"/>
      <c r="AR240" s="309"/>
      <c r="AS240" s="55"/>
      <c r="AT240" s="55"/>
      <c r="AU240" s="56"/>
      <c r="AV240" s="473"/>
      <c r="AW240" s="474"/>
      <c r="AX240" s="474"/>
      <c r="AY240" s="473"/>
      <c r="AZ240" s="474"/>
      <c r="BA240" s="475"/>
      <c r="BB240" s="473"/>
      <c r="BC240" s="474"/>
      <c r="BD240" s="474"/>
      <c r="BE240" s="473"/>
      <c r="BF240" s="474"/>
      <c r="BG240" s="475"/>
      <c r="BH240" s="473"/>
      <c r="BI240" s="474"/>
      <c r="BJ240" s="474"/>
      <c r="BK240" s="473"/>
      <c r="BL240" s="474"/>
      <c r="BM240" s="475"/>
      <c r="BN240" s="473"/>
      <c r="BO240" s="474"/>
      <c r="BP240" s="474"/>
      <c r="BQ240" s="473"/>
      <c r="BR240" s="474"/>
      <c r="BS240" s="475"/>
      <c r="BT240" s="473"/>
      <c r="BU240" s="474"/>
      <c r="BV240" s="474"/>
      <c r="BW240" s="473"/>
      <c r="BX240" s="474"/>
      <c r="BY240" s="475"/>
      <c r="BZ240" s="473"/>
      <c r="CA240" s="474"/>
      <c r="CB240" s="475"/>
      <c r="CC240" s="473"/>
      <c r="CD240" s="474"/>
      <c r="CE240" s="475"/>
      <c r="CF240" s="473"/>
      <c r="CG240" s="474"/>
      <c r="CH240" s="475"/>
      <c r="CI240" s="473"/>
      <c r="CJ240" s="474"/>
      <c r="CK240" s="475"/>
    </row>
    <row r="242" spans="5:89" ht="10.5" x14ac:dyDescent="0.25">
      <c r="F242" s="26" t="s">
        <v>0</v>
      </c>
      <c r="G242" s="26"/>
      <c r="H242" s="449"/>
      <c r="I242" s="26"/>
      <c r="J242" s="26"/>
      <c r="K242" s="26"/>
      <c r="L242" s="26"/>
      <c r="M242" s="26"/>
      <c r="N242" s="26"/>
      <c r="O242" s="26"/>
      <c r="P242" s="26"/>
      <c r="Q242" s="26"/>
      <c r="R242" s="449" t="s">
        <v>1</v>
      </c>
      <c r="S242" s="25"/>
      <c r="T242" s="452"/>
      <c r="U242" s="25"/>
      <c r="AD242" s="450" t="s">
        <v>410</v>
      </c>
      <c r="AE242" s="450"/>
      <c r="AF242" s="451"/>
      <c r="AG242" s="450"/>
      <c r="AP242" s="450" t="s">
        <v>411</v>
      </c>
      <c r="AQ242" s="450"/>
      <c r="AR242" s="451"/>
      <c r="AS242" s="450"/>
      <c r="BB242" s="44" t="s">
        <v>223</v>
      </c>
      <c r="BD242" s="155"/>
      <c r="BN242" s="44" t="s">
        <v>351</v>
      </c>
      <c r="BZ242" s="44" t="s">
        <v>515</v>
      </c>
      <c r="CF242" s="2"/>
      <c r="CG242" s="2"/>
      <c r="CH242" s="2"/>
      <c r="CI242" s="2"/>
      <c r="CJ242" s="2"/>
      <c r="CK242" s="2"/>
    </row>
    <row r="243" spans="5:89" ht="11" thickBot="1" x14ac:dyDescent="0.3">
      <c r="F243" s="26" t="s">
        <v>113</v>
      </c>
      <c r="G243" s="26" t="s">
        <v>108</v>
      </c>
      <c r="H243" s="26" t="s">
        <v>109</v>
      </c>
      <c r="I243" s="26" t="s">
        <v>110</v>
      </c>
      <c r="J243" s="26" t="s">
        <v>111</v>
      </c>
      <c r="K243" s="26" t="s">
        <v>112</v>
      </c>
      <c r="L243" s="26"/>
      <c r="M243" s="26"/>
      <c r="N243" s="26"/>
      <c r="O243" s="26"/>
      <c r="P243" s="26"/>
      <c r="Q243" s="26"/>
      <c r="R243" s="26" t="s">
        <v>113</v>
      </c>
      <c r="S243" s="159" t="s">
        <v>108</v>
      </c>
      <c r="T243" s="159" t="s">
        <v>109</v>
      </c>
      <c r="U243" s="26" t="s">
        <v>110</v>
      </c>
      <c r="V243" s="26" t="s">
        <v>111</v>
      </c>
      <c r="W243" s="26" t="s">
        <v>112</v>
      </c>
      <c r="X243" s="26"/>
      <c r="Y243" s="26"/>
      <c r="Z243" s="26"/>
      <c r="AA243" s="26"/>
      <c r="AB243" s="26"/>
      <c r="AC243" s="26"/>
      <c r="AD243" s="159" t="s">
        <v>88</v>
      </c>
      <c r="AE243" s="159" t="s">
        <v>83</v>
      </c>
      <c r="AF243" s="159" t="s">
        <v>84</v>
      </c>
      <c r="AG243" s="159" t="s">
        <v>87</v>
      </c>
      <c r="AH243" s="159" t="s">
        <v>85</v>
      </c>
      <c r="AI243" s="159" t="s">
        <v>86</v>
      </c>
      <c r="AJ243" s="26"/>
      <c r="AK243" s="26"/>
      <c r="AL243" s="26"/>
      <c r="AM243" s="26"/>
      <c r="AN243" s="26"/>
      <c r="AO243" s="26"/>
      <c r="AP243" s="159" t="s">
        <v>88</v>
      </c>
      <c r="AQ243" s="159" t="s">
        <v>83</v>
      </c>
      <c r="AR243" s="159" t="s">
        <v>84</v>
      </c>
      <c r="AS243" s="159" t="s">
        <v>87</v>
      </c>
      <c r="AT243" s="159" t="s">
        <v>85</v>
      </c>
      <c r="AU243" s="159" t="s">
        <v>86</v>
      </c>
      <c r="AV243" s="26"/>
      <c r="AW243" s="26"/>
      <c r="AX243" s="26"/>
      <c r="AY243" s="26"/>
      <c r="AZ243" s="26"/>
      <c r="BA243" s="26"/>
      <c r="BB243" s="102" t="s">
        <v>88</v>
      </c>
      <c r="BC243" s="102" t="s">
        <v>83</v>
      </c>
      <c r="BD243" s="102" t="s">
        <v>84</v>
      </c>
      <c r="BE243" s="102" t="s">
        <v>87</v>
      </c>
      <c r="BF243" s="102" t="s">
        <v>85</v>
      </c>
      <c r="BG243" s="102" t="s">
        <v>86</v>
      </c>
      <c r="BH243" s="26"/>
      <c r="BI243" s="26"/>
      <c r="BJ243" s="26"/>
      <c r="BK243" s="26"/>
      <c r="BL243" s="26"/>
      <c r="BM243" s="26"/>
      <c r="BN243" s="102" t="s">
        <v>88</v>
      </c>
      <c r="BO243" s="102" t="s">
        <v>83</v>
      </c>
      <c r="BP243" s="102" t="s">
        <v>84</v>
      </c>
      <c r="BQ243" s="102" t="s">
        <v>87</v>
      </c>
      <c r="BR243" s="102" t="s">
        <v>85</v>
      </c>
      <c r="BS243" s="102" t="s">
        <v>86</v>
      </c>
      <c r="BT243" s="26"/>
      <c r="BU243" s="26"/>
      <c r="BV243" s="26"/>
      <c r="BW243" s="26"/>
      <c r="BX243" s="26"/>
      <c r="BY243" s="26"/>
      <c r="BZ243" s="102" t="s">
        <v>88</v>
      </c>
      <c r="CA243" s="102" t="s">
        <v>83</v>
      </c>
      <c r="CB243" s="102" t="s">
        <v>84</v>
      </c>
      <c r="CC243" s="102" t="s">
        <v>87</v>
      </c>
      <c r="CD243" s="102" t="s">
        <v>85</v>
      </c>
      <c r="CE243" s="102" t="s">
        <v>86</v>
      </c>
      <c r="CF243" s="159" t="s">
        <v>512</v>
      </c>
      <c r="CG243" s="159" t="s">
        <v>514</v>
      </c>
      <c r="CH243" s="159" t="s">
        <v>513</v>
      </c>
      <c r="CI243" s="102" t="s">
        <v>516</v>
      </c>
      <c r="CJ243" s="102" t="s">
        <v>517</v>
      </c>
      <c r="CK243" s="102" t="s">
        <v>518</v>
      </c>
    </row>
    <row r="244" spans="5:89" x14ac:dyDescent="0.2">
      <c r="F244" s="293"/>
      <c r="G244" s="479"/>
      <c r="H244" s="479"/>
      <c r="I244" s="467"/>
      <c r="J244" s="468"/>
      <c r="K244" s="469"/>
      <c r="L244" s="467"/>
      <c r="M244" s="468"/>
      <c r="N244" s="468"/>
      <c r="O244" s="467"/>
      <c r="P244" s="468"/>
      <c r="Q244" s="469"/>
      <c r="R244" s="293">
        <v>6</v>
      </c>
      <c r="S244" s="479"/>
      <c r="T244" s="484"/>
      <c r="U244" s="467"/>
      <c r="V244" s="468"/>
      <c r="W244" s="469"/>
      <c r="X244" s="467"/>
      <c r="Y244" s="468"/>
      <c r="Z244" s="468"/>
      <c r="AA244" s="467"/>
      <c r="AB244" s="468"/>
      <c r="AC244" s="469"/>
      <c r="AD244" s="414"/>
      <c r="AE244" s="479"/>
      <c r="AF244" s="479"/>
      <c r="AG244" s="483"/>
      <c r="AH244" s="479"/>
      <c r="AI244" s="480"/>
      <c r="AJ244" s="467"/>
      <c r="AK244" s="468"/>
      <c r="AL244" s="468"/>
      <c r="AM244" s="467"/>
      <c r="AN244" s="468"/>
      <c r="AO244" s="469"/>
      <c r="AP244" s="414">
        <v>7.2</v>
      </c>
      <c r="AQ244" s="479"/>
      <c r="AR244" s="480"/>
      <c r="AS244" s="306">
        <v>15</v>
      </c>
      <c r="AT244" s="479"/>
      <c r="AU244" s="480"/>
      <c r="AV244" s="467"/>
      <c r="AW244" s="468"/>
      <c r="AX244" s="468"/>
      <c r="AY244" s="467"/>
      <c r="AZ244" s="468"/>
      <c r="BA244" s="469"/>
      <c r="BB244" s="467"/>
      <c r="BC244" s="468"/>
      <c r="BD244" s="468"/>
      <c r="BE244" s="467"/>
      <c r="BF244" s="468"/>
      <c r="BG244" s="469"/>
      <c r="BH244" s="467"/>
      <c r="BI244" s="468"/>
      <c r="BJ244" s="468"/>
      <c r="BK244" s="467"/>
      <c r="BL244" s="468"/>
      <c r="BM244" s="469"/>
      <c r="BN244" s="467"/>
      <c r="BO244" s="468"/>
      <c r="BP244" s="468"/>
      <c r="BQ244" s="467"/>
      <c r="BR244" s="468"/>
      <c r="BS244" s="469"/>
      <c r="BT244" s="467"/>
      <c r="BU244" s="468"/>
      <c r="BV244" s="468"/>
      <c r="BW244" s="467"/>
      <c r="BX244" s="468"/>
      <c r="BY244" s="469"/>
      <c r="BZ244" s="467"/>
      <c r="CA244" s="468"/>
      <c r="CB244" s="469"/>
      <c r="CC244" s="467"/>
      <c r="CD244" s="468"/>
      <c r="CE244" s="469"/>
      <c r="CF244" s="467"/>
      <c r="CG244" s="468"/>
      <c r="CH244" s="469"/>
      <c r="CI244" s="467"/>
      <c r="CJ244" s="468"/>
      <c r="CK244" s="469"/>
    </row>
    <row r="245" spans="5:89" x14ac:dyDescent="0.2">
      <c r="E245" s="458" t="s">
        <v>608</v>
      </c>
      <c r="F245" s="296"/>
      <c r="G245" s="481"/>
      <c r="H245" s="481"/>
      <c r="I245" s="470"/>
      <c r="J245" s="471"/>
      <c r="K245" s="472"/>
      <c r="L245" s="470"/>
      <c r="M245" s="471"/>
      <c r="N245" s="471"/>
      <c r="O245" s="470"/>
      <c r="P245" s="471"/>
      <c r="Q245" s="472"/>
      <c r="R245" s="297">
        <v>9</v>
      </c>
      <c r="S245" s="481"/>
      <c r="T245" s="485"/>
      <c r="U245" s="470"/>
      <c r="V245" s="471"/>
      <c r="W245" s="472"/>
      <c r="X245" s="470"/>
      <c r="Y245" s="471"/>
      <c r="Z245" s="471"/>
      <c r="AA245" s="470"/>
      <c r="AB245" s="471"/>
      <c r="AC245" s="472"/>
      <c r="AD245" s="39"/>
      <c r="AE245" s="481"/>
      <c r="AF245" s="481"/>
      <c r="AG245" s="21"/>
      <c r="AH245" s="481"/>
      <c r="AI245" s="482"/>
      <c r="AJ245" s="470"/>
      <c r="AK245" s="471"/>
      <c r="AL245" s="471"/>
      <c r="AM245" s="470"/>
      <c r="AN245" s="471"/>
      <c r="AO245" s="472"/>
      <c r="AP245" s="39">
        <v>14.4</v>
      </c>
      <c r="AQ245" s="481"/>
      <c r="AR245" s="482"/>
      <c r="AS245" s="24">
        <v>30</v>
      </c>
      <c r="AT245" s="481"/>
      <c r="AU245" s="482"/>
      <c r="AV245" s="470"/>
      <c r="AW245" s="471"/>
      <c r="AX245" s="471"/>
      <c r="AY245" s="470"/>
      <c r="AZ245" s="471"/>
      <c r="BA245" s="472"/>
      <c r="BB245" s="470"/>
      <c r="BC245" s="471"/>
      <c r="BD245" s="471"/>
      <c r="BE245" s="470"/>
      <c r="BF245" s="471"/>
      <c r="BG245" s="472"/>
      <c r="BH245" s="470"/>
      <c r="BI245" s="471"/>
      <c r="BJ245" s="471"/>
      <c r="BK245" s="470"/>
      <c r="BL245" s="471"/>
      <c r="BM245" s="472"/>
      <c r="BN245" s="470"/>
      <c r="BO245" s="471"/>
      <c r="BP245" s="471"/>
      <c r="BQ245" s="470"/>
      <c r="BR245" s="471"/>
      <c r="BS245" s="472"/>
      <c r="BT245" s="470"/>
      <c r="BU245" s="471"/>
      <c r="BV245" s="471"/>
      <c r="BW245" s="470"/>
      <c r="BX245" s="471"/>
      <c r="BY245" s="472"/>
      <c r="BZ245" s="470"/>
      <c r="CA245" s="471"/>
      <c r="CB245" s="472"/>
      <c r="CC245" s="470"/>
      <c r="CD245" s="471"/>
      <c r="CE245" s="472"/>
      <c r="CF245" s="470"/>
      <c r="CG245" s="471"/>
      <c r="CH245" s="472"/>
      <c r="CI245" s="470"/>
      <c r="CJ245" s="471"/>
      <c r="CK245" s="472"/>
    </row>
    <row r="246" spans="5:89" x14ac:dyDescent="0.2">
      <c r="F246" s="297"/>
      <c r="G246" s="481"/>
      <c r="H246" s="481"/>
      <c r="I246" s="470"/>
      <c r="J246" s="471"/>
      <c r="K246" s="472"/>
      <c r="L246" s="470"/>
      <c r="M246" s="471"/>
      <c r="N246" s="471"/>
      <c r="O246" s="470"/>
      <c r="P246" s="471"/>
      <c r="Q246" s="472"/>
      <c r="R246" s="297">
        <v>12</v>
      </c>
      <c r="S246" s="481"/>
      <c r="T246" s="485"/>
      <c r="U246" s="470"/>
      <c r="V246" s="471"/>
      <c r="W246" s="472"/>
      <c r="X246" s="470"/>
      <c r="Y246" s="471"/>
      <c r="Z246" s="471"/>
      <c r="AA246" s="470"/>
      <c r="AB246" s="471"/>
      <c r="AC246" s="472"/>
      <c r="AD246" s="39"/>
      <c r="AE246" s="481"/>
      <c r="AF246" s="481"/>
      <c r="AG246" s="21"/>
      <c r="AH246" s="481"/>
      <c r="AI246" s="482"/>
      <c r="AJ246" s="470"/>
      <c r="AK246" s="471"/>
      <c r="AL246" s="471"/>
      <c r="AM246" s="470"/>
      <c r="AN246" s="471"/>
      <c r="AO246" s="472"/>
      <c r="AP246" s="39">
        <v>21.7</v>
      </c>
      <c r="AQ246" s="481"/>
      <c r="AR246" s="482"/>
      <c r="AS246" s="24">
        <v>45</v>
      </c>
      <c r="AT246" s="481"/>
      <c r="AU246" s="482"/>
      <c r="AV246" s="470"/>
      <c r="AW246" s="471"/>
      <c r="AX246" s="471"/>
      <c r="AY246" s="470"/>
      <c r="AZ246" s="471"/>
      <c r="BA246" s="472"/>
      <c r="BB246" s="470"/>
      <c r="BC246" s="471"/>
      <c r="BD246" s="471"/>
      <c r="BE246" s="470"/>
      <c r="BF246" s="471"/>
      <c r="BG246" s="472"/>
      <c r="BH246" s="470"/>
      <c r="BI246" s="471"/>
      <c r="BJ246" s="471"/>
      <c r="BK246" s="470"/>
      <c r="BL246" s="471"/>
      <c r="BM246" s="472"/>
      <c r="BN246" s="470"/>
      <c r="BO246" s="471"/>
      <c r="BP246" s="471"/>
      <c r="BQ246" s="470"/>
      <c r="BR246" s="471"/>
      <c r="BS246" s="472"/>
      <c r="BT246" s="470"/>
      <c r="BU246" s="471"/>
      <c r="BV246" s="471"/>
      <c r="BW246" s="470"/>
      <c r="BX246" s="471"/>
      <c r="BY246" s="472"/>
      <c r="BZ246" s="470"/>
      <c r="CA246" s="471"/>
      <c r="CB246" s="472"/>
      <c r="CC246" s="470"/>
      <c r="CD246" s="471"/>
      <c r="CE246" s="472"/>
      <c r="CF246" s="470"/>
      <c r="CG246" s="471"/>
      <c r="CH246" s="472"/>
      <c r="CI246" s="470"/>
      <c r="CJ246" s="471"/>
      <c r="CK246" s="472"/>
    </row>
    <row r="247" spans="5:89" x14ac:dyDescent="0.2">
      <c r="F247" s="297"/>
      <c r="G247" s="481"/>
      <c r="H247" s="481"/>
      <c r="I247" s="470"/>
      <c r="J247" s="471"/>
      <c r="K247" s="472"/>
      <c r="L247" s="470"/>
      <c r="M247" s="471"/>
      <c r="N247" s="471"/>
      <c r="O247" s="470"/>
      <c r="P247" s="471"/>
      <c r="Q247" s="472"/>
      <c r="R247" s="297">
        <v>18</v>
      </c>
      <c r="S247" s="481"/>
      <c r="T247" s="485"/>
      <c r="U247" s="470"/>
      <c r="V247" s="471"/>
      <c r="W247" s="472"/>
      <c r="X247" s="470"/>
      <c r="Y247" s="471"/>
      <c r="Z247" s="471"/>
      <c r="AA247" s="470"/>
      <c r="AB247" s="471"/>
      <c r="AC247" s="472"/>
      <c r="AD247" s="39"/>
      <c r="AE247" s="481"/>
      <c r="AF247" s="481"/>
      <c r="AG247" s="21"/>
      <c r="AH247" s="481"/>
      <c r="AI247" s="482"/>
      <c r="AJ247" s="470"/>
      <c r="AK247" s="471"/>
      <c r="AL247" s="471"/>
      <c r="AM247" s="470"/>
      <c r="AN247" s="471"/>
      <c r="AO247" s="472"/>
      <c r="AP247" s="39">
        <v>28.9</v>
      </c>
      <c r="AQ247" s="481"/>
      <c r="AR247" s="482"/>
      <c r="AS247" s="24">
        <v>60</v>
      </c>
      <c r="AT247" s="481"/>
      <c r="AU247" s="482"/>
      <c r="AV247" s="470"/>
      <c r="AW247" s="471"/>
      <c r="AX247" s="471"/>
      <c r="AY247" s="470"/>
      <c r="AZ247" s="471"/>
      <c r="BA247" s="472"/>
      <c r="BB247" s="470"/>
      <c r="BC247" s="471"/>
      <c r="BD247" s="471"/>
      <c r="BE247" s="470"/>
      <c r="BF247" s="471"/>
      <c r="BG247" s="472"/>
      <c r="BH247" s="470"/>
      <c r="BI247" s="471"/>
      <c r="BJ247" s="471"/>
      <c r="BK247" s="470"/>
      <c r="BL247" s="471"/>
      <c r="BM247" s="472"/>
      <c r="BN247" s="470"/>
      <c r="BO247" s="471"/>
      <c r="BP247" s="471"/>
      <c r="BQ247" s="470"/>
      <c r="BR247" s="471"/>
      <c r="BS247" s="472"/>
      <c r="BT247" s="470"/>
      <c r="BU247" s="471"/>
      <c r="BV247" s="471"/>
      <c r="BW247" s="470"/>
      <c r="BX247" s="471"/>
      <c r="BY247" s="472"/>
      <c r="BZ247" s="470"/>
      <c r="CA247" s="471"/>
      <c r="CB247" s="472"/>
      <c r="CC247" s="470"/>
      <c r="CD247" s="471"/>
      <c r="CE247" s="472"/>
      <c r="CF247" s="470"/>
      <c r="CG247" s="471"/>
      <c r="CH247" s="472"/>
      <c r="CI247" s="470"/>
      <c r="CJ247" s="471"/>
      <c r="CK247" s="472"/>
    </row>
    <row r="248" spans="5:89" x14ac:dyDescent="0.2">
      <c r="F248" s="297"/>
      <c r="G248" s="481"/>
      <c r="H248" s="481"/>
      <c r="I248" s="470"/>
      <c r="J248" s="471"/>
      <c r="K248" s="472"/>
      <c r="L248" s="470"/>
      <c r="M248" s="471"/>
      <c r="N248" s="471"/>
      <c r="O248" s="470"/>
      <c r="P248" s="471"/>
      <c r="Q248" s="472"/>
      <c r="R248" s="297">
        <v>24</v>
      </c>
      <c r="S248" s="481"/>
      <c r="T248" s="485"/>
      <c r="U248" s="470"/>
      <c r="V248" s="471"/>
      <c r="W248" s="472"/>
      <c r="X248" s="470"/>
      <c r="Y248" s="471"/>
      <c r="Z248" s="471"/>
      <c r="AA248" s="470"/>
      <c r="AB248" s="471"/>
      <c r="AC248" s="472"/>
      <c r="AD248" s="39"/>
      <c r="AE248" s="481"/>
      <c r="AF248" s="481"/>
      <c r="AG248" s="21"/>
      <c r="AH248" s="481"/>
      <c r="AI248" s="482"/>
      <c r="AJ248" s="470"/>
      <c r="AK248" s="471"/>
      <c r="AL248" s="471"/>
      <c r="AM248" s="470"/>
      <c r="AN248" s="471"/>
      <c r="AO248" s="472"/>
      <c r="AP248" s="39">
        <v>43.3</v>
      </c>
      <c r="AQ248" s="481"/>
      <c r="AR248" s="482"/>
      <c r="AS248" s="24">
        <v>90</v>
      </c>
      <c r="AT248" s="481"/>
      <c r="AU248" s="482"/>
      <c r="AV248" s="470"/>
      <c r="AW248" s="471"/>
      <c r="AX248" s="471"/>
      <c r="AY248" s="470"/>
      <c r="AZ248" s="471"/>
      <c r="BA248" s="472"/>
      <c r="BB248" s="470"/>
      <c r="BC248" s="471"/>
      <c r="BD248" s="471"/>
      <c r="BE248" s="470"/>
      <c r="BF248" s="471"/>
      <c r="BG248" s="472"/>
      <c r="BH248" s="470"/>
      <c r="BI248" s="471"/>
      <c r="BJ248" s="471"/>
      <c r="BK248" s="470"/>
      <c r="BL248" s="471"/>
      <c r="BM248" s="472"/>
      <c r="BN248" s="470"/>
      <c r="BO248" s="471"/>
      <c r="BP248" s="471"/>
      <c r="BQ248" s="470"/>
      <c r="BR248" s="471"/>
      <c r="BS248" s="472"/>
      <c r="BT248" s="470"/>
      <c r="BU248" s="471"/>
      <c r="BV248" s="471"/>
      <c r="BW248" s="470"/>
      <c r="BX248" s="471"/>
      <c r="BY248" s="472"/>
      <c r="BZ248" s="470"/>
      <c r="CA248" s="471"/>
      <c r="CB248" s="472"/>
      <c r="CC248" s="470"/>
      <c r="CD248" s="471"/>
      <c r="CE248" s="472"/>
      <c r="CF248" s="470"/>
      <c r="CG248" s="471"/>
      <c r="CH248" s="472"/>
      <c r="CI248" s="470"/>
      <c r="CJ248" s="471"/>
      <c r="CK248" s="472"/>
    </row>
    <row r="249" spans="5:89" x14ac:dyDescent="0.2">
      <c r="F249" s="297"/>
      <c r="G249" s="481"/>
      <c r="H249" s="481"/>
      <c r="I249" s="470"/>
      <c r="J249" s="471"/>
      <c r="K249" s="472"/>
      <c r="L249" s="470"/>
      <c r="M249" s="471"/>
      <c r="N249" s="471"/>
      <c r="O249" s="470"/>
      <c r="P249" s="471"/>
      <c r="Q249" s="472"/>
      <c r="R249" s="297">
        <v>36</v>
      </c>
      <c r="S249" s="481"/>
      <c r="T249" s="485"/>
      <c r="U249" s="470"/>
      <c r="V249" s="471"/>
      <c r="W249" s="472"/>
      <c r="X249" s="470"/>
      <c r="Y249" s="471"/>
      <c r="Z249" s="471"/>
      <c r="AA249" s="470"/>
      <c r="AB249" s="471"/>
      <c r="AC249" s="472"/>
      <c r="AD249" s="39"/>
      <c r="AE249" s="481"/>
      <c r="AF249" s="481"/>
      <c r="AG249" s="21"/>
      <c r="AH249" s="481"/>
      <c r="AI249" s="482"/>
      <c r="AJ249" s="470"/>
      <c r="AK249" s="471"/>
      <c r="AL249" s="471"/>
      <c r="AM249" s="470"/>
      <c r="AN249" s="471"/>
      <c r="AO249" s="472"/>
      <c r="AP249" s="39">
        <v>57.8</v>
      </c>
      <c r="AQ249" s="481"/>
      <c r="AR249" s="482"/>
      <c r="AS249" s="24">
        <v>120</v>
      </c>
      <c r="AT249" s="481"/>
      <c r="AU249" s="482"/>
      <c r="AV249" s="470"/>
      <c r="AW249" s="471"/>
      <c r="AX249" s="471"/>
      <c r="AY249" s="470"/>
      <c r="AZ249" s="471"/>
      <c r="BA249" s="472"/>
      <c r="BB249" s="470"/>
      <c r="BC249" s="471"/>
      <c r="BD249" s="471"/>
      <c r="BE249" s="470"/>
      <c r="BF249" s="471"/>
      <c r="BG249" s="472"/>
      <c r="BH249" s="470"/>
      <c r="BI249" s="471"/>
      <c r="BJ249" s="471"/>
      <c r="BK249" s="470"/>
      <c r="BL249" s="471"/>
      <c r="BM249" s="472"/>
      <c r="BN249" s="470"/>
      <c r="BO249" s="471"/>
      <c r="BP249" s="471"/>
      <c r="BQ249" s="470"/>
      <c r="BR249" s="471"/>
      <c r="BS249" s="472"/>
      <c r="BT249" s="470"/>
      <c r="BU249" s="471"/>
      <c r="BV249" s="471"/>
      <c r="BW249" s="470"/>
      <c r="BX249" s="471"/>
      <c r="BY249" s="472"/>
      <c r="BZ249" s="470"/>
      <c r="CA249" s="471"/>
      <c r="CB249" s="472"/>
      <c r="CC249" s="470"/>
      <c r="CD249" s="471"/>
      <c r="CE249" s="472"/>
      <c r="CF249" s="470"/>
      <c r="CG249" s="471"/>
      <c r="CH249" s="472"/>
      <c r="CI249" s="470"/>
      <c r="CJ249" s="471"/>
      <c r="CK249" s="472"/>
    </row>
    <row r="250" spans="5:89" x14ac:dyDescent="0.2">
      <c r="F250" s="297"/>
      <c r="G250" s="481"/>
      <c r="H250" s="481"/>
      <c r="I250" s="470"/>
      <c r="J250" s="471"/>
      <c r="K250" s="472"/>
      <c r="L250" s="470"/>
      <c r="M250" s="471"/>
      <c r="N250" s="471"/>
      <c r="O250" s="470"/>
      <c r="P250" s="471"/>
      <c r="Q250" s="472"/>
      <c r="R250" s="297">
        <v>48</v>
      </c>
      <c r="S250" s="481"/>
      <c r="T250" s="485"/>
      <c r="U250" s="470"/>
      <c r="V250" s="471"/>
      <c r="W250" s="472"/>
      <c r="X250" s="470"/>
      <c r="Y250" s="471"/>
      <c r="Z250" s="471"/>
      <c r="AA250" s="470"/>
      <c r="AB250" s="471"/>
      <c r="AC250" s="472"/>
      <c r="AD250" s="39"/>
      <c r="AE250" s="481"/>
      <c r="AF250" s="481"/>
      <c r="AG250" s="21"/>
      <c r="AH250" s="481"/>
      <c r="AI250" s="482"/>
      <c r="AJ250" s="470"/>
      <c r="AK250" s="471"/>
      <c r="AL250" s="471"/>
      <c r="AM250" s="470"/>
      <c r="AN250" s="471"/>
      <c r="AO250" s="472"/>
      <c r="AP250" s="39">
        <v>65</v>
      </c>
      <c r="AQ250" s="481"/>
      <c r="AR250" s="482"/>
      <c r="AS250" s="24">
        <v>135</v>
      </c>
      <c r="AT250" s="481"/>
      <c r="AU250" s="482"/>
      <c r="AV250" s="470"/>
      <c r="AW250" s="471"/>
      <c r="AX250" s="471"/>
      <c r="AY250" s="470"/>
      <c r="AZ250" s="471"/>
      <c r="BA250" s="472"/>
      <c r="BB250" s="470"/>
      <c r="BC250" s="471"/>
      <c r="BD250" s="471"/>
      <c r="BE250" s="470"/>
      <c r="BF250" s="471"/>
      <c r="BG250" s="472"/>
      <c r="BH250" s="470"/>
      <c r="BI250" s="471"/>
      <c r="BJ250" s="471"/>
      <c r="BK250" s="470"/>
      <c r="BL250" s="471"/>
      <c r="BM250" s="472"/>
      <c r="BN250" s="470"/>
      <c r="BO250" s="471"/>
      <c r="BP250" s="471"/>
      <c r="BQ250" s="470"/>
      <c r="BR250" s="471"/>
      <c r="BS250" s="472"/>
      <c r="BT250" s="470"/>
      <c r="BU250" s="471"/>
      <c r="BV250" s="471"/>
      <c r="BW250" s="470"/>
      <c r="BX250" s="471"/>
      <c r="BY250" s="472"/>
      <c r="BZ250" s="470"/>
      <c r="CA250" s="471"/>
      <c r="CB250" s="472"/>
      <c r="CC250" s="470"/>
      <c r="CD250" s="471"/>
      <c r="CE250" s="472"/>
      <c r="CF250" s="470"/>
      <c r="CG250" s="471"/>
      <c r="CH250" s="472"/>
      <c r="CI250" s="470"/>
      <c r="CJ250" s="471"/>
      <c r="CK250" s="472"/>
    </row>
    <row r="251" spans="5:89" x14ac:dyDescent="0.2">
      <c r="F251" s="297"/>
      <c r="G251" s="481"/>
      <c r="H251" s="481"/>
      <c r="I251" s="470"/>
      <c r="J251" s="471"/>
      <c r="K251" s="472"/>
      <c r="L251" s="470"/>
      <c r="M251" s="471"/>
      <c r="N251" s="471"/>
      <c r="O251" s="470"/>
      <c r="P251" s="471"/>
      <c r="Q251" s="472"/>
      <c r="R251" s="297">
        <v>54</v>
      </c>
      <c r="S251" s="481"/>
      <c r="T251" s="485"/>
      <c r="U251" s="470"/>
      <c r="V251" s="471"/>
      <c r="W251" s="472"/>
      <c r="X251" s="470"/>
      <c r="Y251" s="471"/>
      <c r="Z251" s="471"/>
      <c r="AA251" s="470"/>
      <c r="AB251" s="471"/>
      <c r="AC251" s="472"/>
      <c r="AD251" s="39"/>
      <c r="AE251" s="481"/>
      <c r="AF251" s="481"/>
      <c r="AG251" s="21"/>
      <c r="AH251" s="481"/>
      <c r="AI251" s="482"/>
      <c r="AJ251" s="470"/>
      <c r="AK251" s="471"/>
      <c r="AL251" s="471"/>
      <c r="AM251" s="470"/>
      <c r="AN251" s="471"/>
      <c r="AO251" s="472"/>
      <c r="AP251" s="39">
        <v>72.2</v>
      </c>
      <c r="AQ251" s="481"/>
      <c r="AR251" s="482"/>
      <c r="AS251" s="21">
        <v>150</v>
      </c>
      <c r="AT251" s="481"/>
      <c r="AU251" s="482"/>
      <c r="AV251" s="470"/>
      <c r="AW251" s="471"/>
      <c r="AX251" s="471"/>
      <c r="AY251" s="470"/>
      <c r="AZ251" s="471"/>
      <c r="BA251" s="472"/>
      <c r="BB251" s="470"/>
      <c r="BC251" s="471"/>
      <c r="BD251" s="471"/>
      <c r="BE251" s="470"/>
      <c r="BF251" s="471"/>
      <c r="BG251" s="472"/>
      <c r="BH251" s="470"/>
      <c r="BI251" s="471"/>
      <c r="BJ251" s="471"/>
      <c r="BK251" s="470"/>
      <c r="BL251" s="471"/>
      <c r="BM251" s="472"/>
      <c r="BN251" s="470"/>
      <c r="BO251" s="471"/>
      <c r="BP251" s="471"/>
      <c r="BQ251" s="470"/>
      <c r="BR251" s="471"/>
      <c r="BS251" s="472"/>
      <c r="BT251" s="470"/>
      <c r="BU251" s="471"/>
      <c r="BV251" s="471"/>
      <c r="BW251" s="470"/>
      <c r="BX251" s="471"/>
      <c r="BY251" s="472"/>
      <c r="BZ251" s="470"/>
      <c r="CA251" s="471"/>
      <c r="CB251" s="472"/>
      <c r="CC251" s="470"/>
      <c r="CD251" s="471"/>
      <c r="CE251" s="472"/>
      <c r="CF251" s="470"/>
      <c r="CG251" s="471"/>
      <c r="CH251" s="472"/>
      <c r="CI251" s="470"/>
      <c r="CJ251" s="471"/>
      <c r="CK251" s="472"/>
    </row>
    <row r="252" spans="5:89" x14ac:dyDescent="0.2">
      <c r="F252" s="297"/>
      <c r="G252" s="481"/>
      <c r="H252" s="481"/>
      <c r="I252" s="470"/>
      <c r="J252" s="471"/>
      <c r="K252" s="472"/>
      <c r="L252" s="470"/>
      <c r="M252" s="471"/>
      <c r="N252" s="471"/>
      <c r="O252" s="470"/>
      <c r="P252" s="471"/>
      <c r="Q252" s="472"/>
      <c r="R252" s="52"/>
      <c r="S252" s="2"/>
      <c r="T252" s="2"/>
      <c r="U252" s="470"/>
      <c r="V252" s="471"/>
      <c r="W252" s="472"/>
      <c r="X252" s="470"/>
      <c r="Y252" s="471"/>
      <c r="Z252" s="471"/>
      <c r="AA252" s="470"/>
      <c r="AB252" s="471"/>
      <c r="AC252" s="472"/>
      <c r="AD252" s="39"/>
      <c r="AE252" s="24"/>
      <c r="AF252" s="24"/>
      <c r="AG252" s="39"/>
      <c r="AH252" s="24"/>
      <c r="AI252" s="95"/>
      <c r="AJ252" s="470"/>
      <c r="AK252" s="471"/>
      <c r="AL252" s="471"/>
      <c r="AM252" s="470"/>
      <c r="AN252" s="471"/>
      <c r="AO252" s="472"/>
      <c r="AP252" s="39"/>
      <c r="AQ252" s="2"/>
      <c r="AR252" s="10"/>
      <c r="AS252" s="2"/>
      <c r="AT252" s="2"/>
      <c r="AU252" s="53"/>
      <c r="AV252" s="470"/>
      <c r="AW252" s="471"/>
      <c r="AX252" s="471"/>
      <c r="AY252" s="470"/>
      <c r="AZ252" s="471"/>
      <c r="BA252" s="472"/>
      <c r="BB252" s="470"/>
      <c r="BC252" s="471"/>
      <c r="BD252" s="471"/>
      <c r="BE252" s="470"/>
      <c r="BF252" s="471"/>
      <c r="BG252" s="472"/>
      <c r="BH252" s="470"/>
      <c r="BI252" s="471"/>
      <c r="BJ252" s="471"/>
      <c r="BK252" s="470"/>
      <c r="BL252" s="471"/>
      <c r="BM252" s="472"/>
      <c r="BN252" s="470"/>
      <c r="BO252" s="471"/>
      <c r="BP252" s="471"/>
      <c r="BQ252" s="470"/>
      <c r="BR252" s="471"/>
      <c r="BS252" s="472"/>
      <c r="BT252" s="470"/>
      <c r="BU252" s="471"/>
      <c r="BV252" s="471"/>
      <c r="BW252" s="470"/>
      <c r="BX252" s="471"/>
      <c r="BY252" s="472"/>
      <c r="BZ252" s="470"/>
      <c r="CA252" s="471"/>
      <c r="CB252" s="472"/>
      <c r="CC252" s="470"/>
      <c r="CD252" s="471"/>
      <c r="CE252" s="472"/>
      <c r="CF252" s="470"/>
      <c r="CG252" s="471"/>
      <c r="CH252" s="472"/>
      <c r="CI252" s="470"/>
      <c r="CJ252" s="471"/>
      <c r="CK252" s="472"/>
    </row>
    <row r="253" spans="5:89" x14ac:dyDescent="0.2">
      <c r="F253" s="297"/>
      <c r="G253" s="481"/>
      <c r="H253" s="481"/>
      <c r="I253" s="470"/>
      <c r="J253" s="471"/>
      <c r="K253" s="472"/>
      <c r="L253" s="470"/>
      <c r="M253" s="471"/>
      <c r="N253" s="471"/>
      <c r="O253" s="470"/>
      <c r="P253" s="471"/>
      <c r="Q253" s="472"/>
      <c r="R253" s="52"/>
      <c r="S253" s="31"/>
      <c r="T253" s="31"/>
      <c r="U253" s="470"/>
      <c r="V253" s="471"/>
      <c r="W253" s="472"/>
      <c r="X253" s="470"/>
      <c r="Y253" s="471"/>
      <c r="Z253" s="471"/>
      <c r="AA253" s="470"/>
      <c r="AB253" s="471"/>
      <c r="AC253" s="472"/>
      <c r="AD253" s="39"/>
      <c r="AE253" s="24"/>
      <c r="AF253" s="24"/>
      <c r="AG253" s="39"/>
      <c r="AH253" s="24"/>
      <c r="AI253" s="95"/>
      <c r="AJ253" s="470"/>
      <c r="AK253" s="471"/>
      <c r="AL253" s="471"/>
      <c r="AM253" s="470"/>
      <c r="AN253" s="471"/>
      <c r="AO253" s="472"/>
      <c r="AP253" s="52"/>
      <c r="AQ253" s="2"/>
      <c r="AR253" s="10"/>
      <c r="AS253" s="2"/>
      <c r="AT253" s="2"/>
      <c r="AU253" s="53"/>
      <c r="AV253" s="470"/>
      <c r="AW253" s="471"/>
      <c r="AX253" s="471"/>
      <c r="AY253" s="470"/>
      <c r="AZ253" s="471"/>
      <c r="BA253" s="472"/>
      <c r="BB253" s="470"/>
      <c r="BC253" s="471"/>
      <c r="BD253" s="471"/>
      <c r="BE253" s="470"/>
      <c r="BF253" s="471"/>
      <c r="BG253" s="472"/>
      <c r="BH253" s="470"/>
      <c r="BI253" s="471"/>
      <c r="BJ253" s="471"/>
      <c r="BK253" s="470"/>
      <c r="BL253" s="471"/>
      <c r="BM253" s="472"/>
      <c r="BN253" s="470"/>
      <c r="BO253" s="471"/>
      <c r="BP253" s="471"/>
      <c r="BQ253" s="470"/>
      <c r="BR253" s="471"/>
      <c r="BS253" s="472"/>
      <c r="BT253" s="470"/>
      <c r="BU253" s="471"/>
      <c r="BV253" s="471"/>
      <c r="BW253" s="470"/>
      <c r="BX253" s="471"/>
      <c r="BY253" s="472"/>
      <c r="BZ253" s="470"/>
      <c r="CA253" s="471"/>
      <c r="CB253" s="472"/>
      <c r="CC253" s="470"/>
      <c r="CD253" s="471"/>
      <c r="CE253" s="472"/>
      <c r="CF253" s="470"/>
      <c r="CG253" s="471"/>
      <c r="CH253" s="472"/>
      <c r="CI253" s="470"/>
      <c r="CJ253" s="471"/>
      <c r="CK253" s="472"/>
    </row>
    <row r="254" spans="5:89" ht="10.5" thickBot="1" x14ac:dyDescent="0.25">
      <c r="F254" s="298"/>
      <c r="G254" s="486"/>
      <c r="H254" s="486"/>
      <c r="I254" s="473"/>
      <c r="J254" s="474"/>
      <c r="K254" s="475"/>
      <c r="L254" s="473"/>
      <c r="M254" s="474"/>
      <c r="N254" s="474"/>
      <c r="O254" s="473"/>
      <c r="P254" s="474"/>
      <c r="Q254" s="475"/>
      <c r="R254" s="54"/>
      <c r="S254" s="303"/>
      <c r="T254" s="303"/>
      <c r="U254" s="473"/>
      <c r="V254" s="474"/>
      <c r="W254" s="475"/>
      <c r="X254" s="473"/>
      <c r="Y254" s="474"/>
      <c r="Z254" s="474"/>
      <c r="AA254" s="473"/>
      <c r="AB254" s="474"/>
      <c r="AC254" s="475"/>
      <c r="AD254" s="304"/>
      <c r="AE254" s="399"/>
      <c r="AF254" s="399"/>
      <c r="AG254" s="304"/>
      <c r="AH254" s="399"/>
      <c r="AI254" s="477"/>
      <c r="AJ254" s="473"/>
      <c r="AK254" s="474"/>
      <c r="AL254" s="474"/>
      <c r="AM254" s="473"/>
      <c r="AN254" s="474"/>
      <c r="AO254" s="475"/>
      <c r="AP254" s="54"/>
      <c r="AQ254" s="55"/>
      <c r="AR254" s="309"/>
      <c r="AS254" s="55"/>
      <c r="AT254" s="55"/>
      <c r="AU254" s="56"/>
      <c r="AV254" s="473"/>
      <c r="AW254" s="474"/>
      <c r="AX254" s="474"/>
      <c r="AY254" s="473"/>
      <c r="AZ254" s="474"/>
      <c r="BA254" s="475"/>
      <c r="BB254" s="473"/>
      <c r="BC254" s="474"/>
      <c r="BD254" s="474"/>
      <c r="BE254" s="473"/>
      <c r="BF254" s="474"/>
      <c r="BG254" s="475"/>
      <c r="BH254" s="473"/>
      <c r="BI254" s="474"/>
      <c r="BJ254" s="474"/>
      <c r="BK254" s="473"/>
      <c r="BL254" s="474"/>
      <c r="BM254" s="475"/>
      <c r="BN254" s="473"/>
      <c r="BO254" s="474"/>
      <c r="BP254" s="474"/>
      <c r="BQ254" s="473"/>
      <c r="BR254" s="474"/>
      <c r="BS254" s="475"/>
      <c r="BT254" s="473"/>
      <c r="BU254" s="474"/>
      <c r="BV254" s="474"/>
      <c r="BW254" s="473"/>
      <c r="BX254" s="474"/>
      <c r="BY254" s="475"/>
      <c r="BZ254" s="473"/>
      <c r="CA254" s="474"/>
      <c r="CB254" s="475"/>
      <c r="CC254" s="473"/>
      <c r="CD254" s="474"/>
      <c r="CE254" s="475"/>
      <c r="CF254" s="473"/>
      <c r="CG254" s="474"/>
      <c r="CH254" s="475"/>
      <c r="CI254" s="473"/>
      <c r="CJ254" s="474"/>
      <c r="CK254" s="475"/>
    </row>
    <row r="256" spans="5:89" ht="10.5" x14ac:dyDescent="0.25">
      <c r="F256" s="26" t="s">
        <v>0</v>
      </c>
      <c r="G256" s="26"/>
      <c r="H256" s="449"/>
      <c r="I256" s="26"/>
      <c r="J256" s="26"/>
      <c r="K256" s="26"/>
      <c r="L256" s="26"/>
      <c r="M256" s="26"/>
      <c r="N256" s="26"/>
      <c r="O256" s="26"/>
      <c r="P256" s="26"/>
      <c r="Q256" s="26"/>
      <c r="R256" s="449" t="s">
        <v>1</v>
      </c>
      <c r="S256" s="25"/>
      <c r="T256" s="452"/>
      <c r="U256" s="25"/>
      <c r="AD256" s="450" t="s">
        <v>410</v>
      </c>
      <c r="AE256" s="450"/>
      <c r="AF256" s="451"/>
      <c r="AG256" s="450"/>
      <c r="AP256" s="450" t="s">
        <v>411</v>
      </c>
      <c r="AQ256" s="450"/>
      <c r="AR256" s="451"/>
      <c r="AS256" s="450"/>
      <c r="BB256" s="44" t="s">
        <v>223</v>
      </c>
      <c r="BD256" s="155"/>
      <c r="BN256" s="44" t="s">
        <v>351</v>
      </c>
      <c r="BZ256" s="44" t="s">
        <v>515</v>
      </c>
      <c r="CF256" s="2"/>
      <c r="CG256" s="2"/>
      <c r="CH256" s="2"/>
      <c r="CI256" s="2"/>
      <c r="CJ256" s="2"/>
      <c r="CK256" s="2"/>
    </row>
    <row r="257" spans="5:89" ht="11" thickBot="1" x14ac:dyDescent="0.3">
      <c r="F257" s="26" t="s">
        <v>113</v>
      </c>
      <c r="G257" s="26" t="s">
        <v>108</v>
      </c>
      <c r="H257" s="26" t="s">
        <v>109</v>
      </c>
      <c r="I257" s="26" t="s">
        <v>110</v>
      </c>
      <c r="J257" s="26" t="s">
        <v>111</v>
      </c>
      <c r="K257" s="26" t="s">
        <v>112</v>
      </c>
      <c r="L257" s="26"/>
      <c r="M257" s="26"/>
      <c r="N257" s="26"/>
      <c r="O257" s="26"/>
      <c r="P257" s="26"/>
      <c r="Q257" s="26"/>
      <c r="R257" s="26" t="s">
        <v>113</v>
      </c>
      <c r="S257" s="159" t="s">
        <v>108</v>
      </c>
      <c r="T257" s="159" t="s">
        <v>109</v>
      </c>
      <c r="U257" s="26" t="s">
        <v>110</v>
      </c>
      <c r="V257" s="26" t="s">
        <v>111</v>
      </c>
      <c r="W257" s="26" t="s">
        <v>112</v>
      </c>
      <c r="X257" s="26"/>
      <c r="Y257" s="26"/>
      <c r="Z257" s="26"/>
      <c r="AA257" s="26"/>
      <c r="AB257" s="26"/>
      <c r="AC257" s="26"/>
      <c r="AD257" s="159" t="s">
        <v>88</v>
      </c>
      <c r="AE257" s="159" t="s">
        <v>83</v>
      </c>
      <c r="AF257" s="159" t="s">
        <v>84</v>
      </c>
      <c r="AG257" s="159" t="s">
        <v>87</v>
      </c>
      <c r="AH257" s="159" t="s">
        <v>85</v>
      </c>
      <c r="AI257" s="159" t="s">
        <v>86</v>
      </c>
      <c r="AJ257" s="26"/>
      <c r="AK257" s="26"/>
      <c r="AL257" s="26"/>
      <c r="AM257" s="26"/>
      <c r="AN257" s="26"/>
      <c r="AO257" s="26"/>
      <c r="AP257" s="159" t="s">
        <v>88</v>
      </c>
      <c r="AQ257" s="159" t="s">
        <v>83</v>
      </c>
      <c r="AR257" s="159" t="s">
        <v>84</v>
      </c>
      <c r="AS257" s="159" t="s">
        <v>87</v>
      </c>
      <c r="AT257" s="159" t="s">
        <v>85</v>
      </c>
      <c r="AU257" s="159" t="s">
        <v>86</v>
      </c>
      <c r="AV257" s="26"/>
      <c r="AW257" s="26"/>
      <c r="AX257" s="26"/>
      <c r="AY257" s="26"/>
      <c r="AZ257" s="26"/>
      <c r="BA257" s="26"/>
      <c r="BB257" s="102" t="s">
        <v>88</v>
      </c>
      <c r="BC257" s="102" t="s">
        <v>83</v>
      </c>
      <c r="BD257" s="102" t="s">
        <v>84</v>
      </c>
      <c r="BE257" s="102" t="s">
        <v>87</v>
      </c>
      <c r="BF257" s="102" t="s">
        <v>85</v>
      </c>
      <c r="BG257" s="102" t="s">
        <v>86</v>
      </c>
      <c r="BH257" s="26"/>
      <c r="BI257" s="26"/>
      <c r="BJ257" s="26"/>
      <c r="BK257" s="26"/>
      <c r="BL257" s="26"/>
      <c r="BM257" s="26"/>
      <c r="BN257" s="102" t="s">
        <v>88</v>
      </c>
      <c r="BO257" s="102" t="s">
        <v>83</v>
      </c>
      <c r="BP257" s="102" t="s">
        <v>84</v>
      </c>
      <c r="BQ257" s="102" t="s">
        <v>87</v>
      </c>
      <c r="BR257" s="102" t="s">
        <v>85</v>
      </c>
      <c r="BS257" s="102" t="s">
        <v>86</v>
      </c>
      <c r="BT257" s="26"/>
      <c r="BU257" s="26"/>
      <c r="BV257" s="26"/>
      <c r="BW257" s="26"/>
      <c r="BX257" s="26"/>
      <c r="BY257" s="26"/>
      <c r="BZ257" s="102" t="s">
        <v>88</v>
      </c>
      <c r="CA257" s="102" t="s">
        <v>83</v>
      </c>
      <c r="CB257" s="102" t="s">
        <v>84</v>
      </c>
      <c r="CC257" s="102" t="s">
        <v>87</v>
      </c>
      <c r="CD257" s="102" t="s">
        <v>85</v>
      </c>
      <c r="CE257" s="102" t="s">
        <v>86</v>
      </c>
      <c r="CF257" s="159" t="s">
        <v>512</v>
      </c>
      <c r="CG257" s="159" t="s">
        <v>514</v>
      </c>
      <c r="CH257" s="159" t="s">
        <v>513</v>
      </c>
      <c r="CI257" s="102" t="s">
        <v>516</v>
      </c>
      <c r="CJ257" s="102" t="s">
        <v>517</v>
      </c>
      <c r="CK257" s="102" t="s">
        <v>518</v>
      </c>
    </row>
    <row r="258" spans="5:89" x14ac:dyDescent="0.2">
      <c r="E258" s="1" t="s">
        <v>653</v>
      </c>
      <c r="F258" s="293"/>
      <c r="G258" s="479"/>
      <c r="H258" s="479"/>
      <c r="I258" s="467"/>
      <c r="J258" s="468"/>
      <c r="K258" s="469"/>
      <c r="L258" s="467"/>
      <c r="M258" s="468"/>
      <c r="N258" s="468"/>
      <c r="O258" s="467"/>
      <c r="P258" s="468"/>
      <c r="Q258" s="469"/>
      <c r="R258" s="293">
        <v>6</v>
      </c>
      <c r="S258" s="479">
        <v>23</v>
      </c>
      <c r="T258" s="484">
        <v>-88</v>
      </c>
      <c r="U258" s="467"/>
      <c r="V258" s="468"/>
      <c r="W258" s="469"/>
      <c r="X258" s="467"/>
      <c r="Y258" s="468"/>
      <c r="Z258" s="468"/>
      <c r="AA258" s="467"/>
      <c r="AB258" s="468"/>
      <c r="AC258" s="469"/>
      <c r="AD258" s="414"/>
      <c r="AE258" s="479"/>
      <c r="AF258" s="479"/>
      <c r="AG258" s="483"/>
      <c r="AH258" s="479"/>
      <c r="AI258" s="480"/>
      <c r="AJ258" s="467"/>
      <c r="AK258" s="468"/>
      <c r="AL258" s="468"/>
      <c r="AM258" s="467"/>
      <c r="AN258" s="468"/>
      <c r="AO258" s="469"/>
      <c r="AP258" s="414">
        <v>7.2</v>
      </c>
      <c r="AQ258" s="479">
        <v>23</v>
      </c>
      <c r="AR258" s="480">
        <v>-88</v>
      </c>
      <c r="AS258" s="306">
        <v>15</v>
      </c>
      <c r="AT258" s="479">
        <v>23</v>
      </c>
      <c r="AU258" s="480">
        <v>-86</v>
      </c>
      <c r="AV258" s="467"/>
      <c r="AW258" s="468"/>
      <c r="AX258" s="468"/>
      <c r="AY258" s="467"/>
      <c r="AZ258" s="468"/>
      <c r="BA258" s="469"/>
      <c r="BB258" s="467"/>
      <c r="BC258" s="468"/>
      <c r="BD258" s="468"/>
      <c r="BE258" s="467"/>
      <c r="BF258" s="468"/>
      <c r="BG258" s="469"/>
      <c r="BH258" s="467"/>
      <c r="BI258" s="468"/>
      <c r="BJ258" s="468"/>
      <c r="BK258" s="467"/>
      <c r="BL258" s="468"/>
      <c r="BM258" s="469"/>
      <c r="BN258" s="467"/>
      <c r="BO258" s="468"/>
      <c r="BP258" s="468"/>
      <c r="BQ258" s="467"/>
      <c r="BR258" s="468"/>
      <c r="BS258" s="469"/>
      <c r="BT258" s="467"/>
      <c r="BU258" s="468"/>
      <c r="BV258" s="468"/>
      <c r="BW258" s="467"/>
      <c r="BX258" s="468"/>
      <c r="BY258" s="469"/>
      <c r="BZ258" s="414">
        <v>7.2</v>
      </c>
      <c r="CA258" s="306">
        <v>23</v>
      </c>
      <c r="CB258" s="306">
        <v>-88</v>
      </c>
      <c r="CC258" s="414">
        <v>15</v>
      </c>
      <c r="CD258" s="306">
        <v>23</v>
      </c>
      <c r="CE258" s="306">
        <v>-89</v>
      </c>
      <c r="CF258" s="293">
        <v>32.5</v>
      </c>
      <c r="CG258" s="306">
        <v>23</v>
      </c>
      <c r="CH258" s="307">
        <v>-89</v>
      </c>
      <c r="CI258" s="293">
        <v>65</v>
      </c>
      <c r="CJ258" s="306">
        <v>22</v>
      </c>
      <c r="CK258" s="307">
        <v>-86</v>
      </c>
    </row>
    <row r="259" spans="5:89" x14ac:dyDescent="0.2">
      <c r="E259" s="458" t="s">
        <v>609</v>
      </c>
      <c r="F259" s="296"/>
      <c r="G259" s="481"/>
      <c r="H259" s="481"/>
      <c r="I259" s="470"/>
      <c r="J259" s="471"/>
      <c r="K259" s="472"/>
      <c r="L259" s="470"/>
      <c r="M259" s="471"/>
      <c r="N259" s="471"/>
      <c r="O259" s="470"/>
      <c r="P259" s="471"/>
      <c r="Q259" s="472"/>
      <c r="R259" s="297">
        <v>9</v>
      </c>
      <c r="S259" s="481">
        <v>23</v>
      </c>
      <c r="T259" s="485">
        <v>-87</v>
      </c>
      <c r="U259" s="470"/>
      <c r="V259" s="471"/>
      <c r="W259" s="472"/>
      <c r="X259" s="470"/>
      <c r="Y259" s="471"/>
      <c r="Z259" s="471"/>
      <c r="AA259" s="470"/>
      <c r="AB259" s="471"/>
      <c r="AC259" s="472"/>
      <c r="AD259" s="39"/>
      <c r="AE259" s="481"/>
      <c r="AF259" s="481"/>
      <c r="AG259" s="21"/>
      <c r="AH259" s="481"/>
      <c r="AI259" s="482"/>
      <c r="AJ259" s="470"/>
      <c r="AK259" s="471"/>
      <c r="AL259" s="471"/>
      <c r="AM259" s="470"/>
      <c r="AN259" s="471"/>
      <c r="AO259" s="472"/>
      <c r="AP259" s="39">
        <v>14.4</v>
      </c>
      <c r="AQ259" s="481">
        <v>23</v>
      </c>
      <c r="AR259" s="482">
        <v>-85</v>
      </c>
      <c r="AS259" s="24">
        <v>30</v>
      </c>
      <c r="AT259" s="481">
        <v>23</v>
      </c>
      <c r="AU259" s="482">
        <v>-84</v>
      </c>
      <c r="AV259" s="470"/>
      <c r="AW259" s="471"/>
      <c r="AX259" s="471"/>
      <c r="AY259" s="470"/>
      <c r="AZ259" s="471"/>
      <c r="BA259" s="472"/>
      <c r="BB259" s="470"/>
      <c r="BC259" s="471"/>
      <c r="BD259" s="471"/>
      <c r="BE259" s="470"/>
      <c r="BF259" s="471"/>
      <c r="BG259" s="472"/>
      <c r="BH259" s="470"/>
      <c r="BI259" s="471"/>
      <c r="BJ259" s="471"/>
      <c r="BK259" s="470"/>
      <c r="BL259" s="471"/>
      <c r="BM259" s="472"/>
      <c r="BN259" s="470"/>
      <c r="BO259" s="471"/>
      <c r="BP259" s="471"/>
      <c r="BQ259" s="470"/>
      <c r="BR259" s="471"/>
      <c r="BS259" s="472"/>
      <c r="BT259" s="470"/>
      <c r="BU259" s="471"/>
      <c r="BV259" s="471"/>
      <c r="BW259" s="470"/>
      <c r="BX259" s="471"/>
      <c r="BY259" s="472"/>
      <c r="BZ259" s="39">
        <v>14.4</v>
      </c>
      <c r="CA259" s="24">
        <v>23</v>
      </c>
      <c r="CB259" s="24">
        <v>-85</v>
      </c>
      <c r="CC259" s="39">
        <v>30</v>
      </c>
      <c r="CD259" s="24">
        <v>23</v>
      </c>
      <c r="CE259" s="24">
        <v>-87</v>
      </c>
      <c r="CF259" s="297">
        <v>65</v>
      </c>
      <c r="CG259" s="24">
        <v>23</v>
      </c>
      <c r="CH259" s="308">
        <v>-87</v>
      </c>
      <c r="CI259" s="297">
        <v>130</v>
      </c>
      <c r="CJ259" s="24">
        <v>22</v>
      </c>
      <c r="CK259" s="308">
        <v>-84</v>
      </c>
    </row>
    <row r="260" spans="5:89" x14ac:dyDescent="0.2">
      <c r="F260" s="297"/>
      <c r="G260" s="481"/>
      <c r="H260" s="481"/>
      <c r="I260" s="470"/>
      <c r="J260" s="471"/>
      <c r="K260" s="472"/>
      <c r="L260" s="470"/>
      <c r="M260" s="471"/>
      <c r="N260" s="471"/>
      <c r="O260" s="470"/>
      <c r="P260" s="471"/>
      <c r="Q260" s="472"/>
      <c r="R260" s="297">
        <v>12</v>
      </c>
      <c r="S260" s="481">
        <v>22</v>
      </c>
      <c r="T260" s="485">
        <v>-85</v>
      </c>
      <c r="U260" s="470"/>
      <c r="V260" s="471"/>
      <c r="W260" s="472"/>
      <c r="X260" s="470"/>
      <c r="Y260" s="471"/>
      <c r="Z260" s="471"/>
      <c r="AA260" s="470"/>
      <c r="AB260" s="471"/>
      <c r="AC260" s="472"/>
      <c r="AD260" s="39"/>
      <c r="AE260" s="481"/>
      <c r="AF260" s="481"/>
      <c r="AG260" s="21"/>
      <c r="AH260" s="481"/>
      <c r="AI260" s="482"/>
      <c r="AJ260" s="470"/>
      <c r="AK260" s="471"/>
      <c r="AL260" s="471"/>
      <c r="AM260" s="470"/>
      <c r="AN260" s="471"/>
      <c r="AO260" s="472"/>
      <c r="AP260" s="39">
        <v>21.7</v>
      </c>
      <c r="AQ260" s="481">
        <v>22</v>
      </c>
      <c r="AR260" s="482">
        <v>-83</v>
      </c>
      <c r="AS260" s="24">
        <v>45</v>
      </c>
      <c r="AT260" s="481">
        <v>22</v>
      </c>
      <c r="AU260" s="482">
        <v>-82</v>
      </c>
      <c r="AV260" s="470"/>
      <c r="AW260" s="471"/>
      <c r="AX260" s="471"/>
      <c r="AY260" s="470"/>
      <c r="AZ260" s="471"/>
      <c r="BA260" s="472"/>
      <c r="BB260" s="470"/>
      <c r="BC260" s="471"/>
      <c r="BD260" s="471"/>
      <c r="BE260" s="470"/>
      <c r="BF260" s="471"/>
      <c r="BG260" s="472"/>
      <c r="BH260" s="470"/>
      <c r="BI260" s="471"/>
      <c r="BJ260" s="471"/>
      <c r="BK260" s="470"/>
      <c r="BL260" s="471"/>
      <c r="BM260" s="472"/>
      <c r="BN260" s="470"/>
      <c r="BO260" s="471"/>
      <c r="BP260" s="471"/>
      <c r="BQ260" s="470"/>
      <c r="BR260" s="471"/>
      <c r="BS260" s="472"/>
      <c r="BT260" s="470"/>
      <c r="BU260" s="471"/>
      <c r="BV260" s="471"/>
      <c r="BW260" s="470"/>
      <c r="BX260" s="471"/>
      <c r="BY260" s="472"/>
      <c r="BZ260" s="39">
        <v>21.7</v>
      </c>
      <c r="CA260" s="24">
        <v>22</v>
      </c>
      <c r="CB260" s="24">
        <v>-83</v>
      </c>
      <c r="CC260" s="39">
        <v>45</v>
      </c>
      <c r="CD260" s="24">
        <v>22</v>
      </c>
      <c r="CE260" s="24">
        <v>-82</v>
      </c>
      <c r="CF260" s="297">
        <v>97.5</v>
      </c>
      <c r="CG260" s="24">
        <v>22</v>
      </c>
      <c r="CH260" s="308">
        <v>-85</v>
      </c>
      <c r="CI260" s="297">
        <v>195</v>
      </c>
      <c r="CJ260" s="24">
        <v>21</v>
      </c>
      <c r="CK260" s="308">
        <v>-83</v>
      </c>
    </row>
    <row r="261" spans="5:89" x14ac:dyDescent="0.2">
      <c r="F261" s="297"/>
      <c r="G261" s="481"/>
      <c r="H261" s="481"/>
      <c r="I261" s="470"/>
      <c r="J261" s="471"/>
      <c r="K261" s="472"/>
      <c r="L261" s="470"/>
      <c r="M261" s="471"/>
      <c r="N261" s="471"/>
      <c r="O261" s="470"/>
      <c r="P261" s="471"/>
      <c r="Q261" s="472"/>
      <c r="R261" s="297">
        <v>18</v>
      </c>
      <c r="S261" s="481">
        <v>22</v>
      </c>
      <c r="T261" s="485">
        <v>-83</v>
      </c>
      <c r="U261" s="470"/>
      <c r="V261" s="471"/>
      <c r="W261" s="472"/>
      <c r="X261" s="470"/>
      <c r="Y261" s="471"/>
      <c r="Z261" s="471"/>
      <c r="AA261" s="470"/>
      <c r="AB261" s="471"/>
      <c r="AC261" s="472"/>
      <c r="AD261" s="39"/>
      <c r="AE261" s="481"/>
      <c r="AF261" s="481"/>
      <c r="AG261" s="21"/>
      <c r="AH261" s="481"/>
      <c r="AI261" s="482"/>
      <c r="AJ261" s="470"/>
      <c r="AK261" s="471"/>
      <c r="AL261" s="471"/>
      <c r="AM261" s="470"/>
      <c r="AN261" s="471"/>
      <c r="AO261" s="472"/>
      <c r="AP261" s="39">
        <v>28.9</v>
      </c>
      <c r="AQ261" s="481">
        <v>22</v>
      </c>
      <c r="AR261" s="482">
        <v>-79</v>
      </c>
      <c r="AS261" s="24">
        <v>60</v>
      </c>
      <c r="AT261" s="481">
        <v>22</v>
      </c>
      <c r="AU261" s="482">
        <v>-79</v>
      </c>
      <c r="AV261" s="470"/>
      <c r="AW261" s="471"/>
      <c r="AX261" s="471"/>
      <c r="AY261" s="470"/>
      <c r="AZ261" s="471"/>
      <c r="BA261" s="472"/>
      <c r="BB261" s="470"/>
      <c r="BC261" s="471"/>
      <c r="BD261" s="471"/>
      <c r="BE261" s="470"/>
      <c r="BF261" s="471"/>
      <c r="BG261" s="472"/>
      <c r="BH261" s="470"/>
      <c r="BI261" s="471"/>
      <c r="BJ261" s="471"/>
      <c r="BK261" s="470"/>
      <c r="BL261" s="471"/>
      <c r="BM261" s="472"/>
      <c r="BN261" s="470"/>
      <c r="BO261" s="471"/>
      <c r="BP261" s="471"/>
      <c r="BQ261" s="470"/>
      <c r="BR261" s="471"/>
      <c r="BS261" s="472"/>
      <c r="BT261" s="470"/>
      <c r="BU261" s="471"/>
      <c r="BV261" s="471"/>
      <c r="BW261" s="470"/>
      <c r="BX261" s="471"/>
      <c r="BY261" s="472"/>
      <c r="BZ261" s="39">
        <v>28.9</v>
      </c>
      <c r="CA261" s="24">
        <v>22</v>
      </c>
      <c r="CB261" s="24">
        <v>-79</v>
      </c>
      <c r="CC261" s="39">
        <v>60</v>
      </c>
      <c r="CD261" s="24">
        <v>22</v>
      </c>
      <c r="CE261" s="24">
        <v>-78</v>
      </c>
      <c r="CF261" s="297">
        <v>130</v>
      </c>
      <c r="CG261" s="24">
        <v>22</v>
      </c>
      <c r="CH261" s="308">
        <v>-81</v>
      </c>
      <c r="CI261" s="297">
        <v>260</v>
      </c>
      <c r="CJ261" s="24">
        <v>21</v>
      </c>
      <c r="CK261" s="308">
        <v>-79</v>
      </c>
    </row>
    <row r="262" spans="5:89" x14ac:dyDescent="0.2">
      <c r="F262" s="297"/>
      <c r="G262" s="481"/>
      <c r="H262" s="481"/>
      <c r="I262" s="470"/>
      <c r="J262" s="471"/>
      <c r="K262" s="472"/>
      <c r="L262" s="470"/>
      <c r="M262" s="471"/>
      <c r="N262" s="471"/>
      <c r="O262" s="470"/>
      <c r="P262" s="471"/>
      <c r="Q262" s="472"/>
      <c r="R262" s="297">
        <v>24</v>
      </c>
      <c r="S262" s="481">
        <v>21</v>
      </c>
      <c r="T262" s="485">
        <v>-80</v>
      </c>
      <c r="U262" s="470"/>
      <c r="V262" s="471"/>
      <c r="W262" s="472"/>
      <c r="X262" s="470"/>
      <c r="Y262" s="471"/>
      <c r="Z262" s="471"/>
      <c r="AA262" s="470"/>
      <c r="AB262" s="471"/>
      <c r="AC262" s="472"/>
      <c r="AD262" s="39"/>
      <c r="AE262" s="481"/>
      <c r="AF262" s="481"/>
      <c r="AG262" s="21"/>
      <c r="AH262" s="481"/>
      <c r="AI262" s="482"/>
      <c r="AJ262" s="470"/>
      <c r="AK262" s="471"/>
      <c r="AL262" s="471"/>
      <c r="AM262" s="470"/>
      <c r="AN262" s="471"/>
      <c r="AO262" s="472"/>
      <c r="AP262" s="39">
        <v>43.3</v>
      </c>
      <c r="AQ262" s="481">
        <v>21</v>
      </c>
      <c r="AR262" s="482">
        <v>-75</v>
      </c>
      <c r="AS262" s="24">
        <v>90</v>
      </c>
      <c r="AT262" s="481">
        <v>21</v>
      </c>
      <c r="AU262" s="482">
        <v>-76</v>
      </c>
      <c r="AV262" s="470"/>
      <c r="AW262" s="471"/>
      <c r="AX262" s="471"/>
      <c r="AY262" s="470"/>
      <c r="AZ262" s="471"/>
      <c r="BA262" s="472"/>
      <c r="BB262" s="470"/>
      <c r="BC262" s="471"/>
      <c r="BD262" s="471"/>
      <c r="BE262" s="470"/>
      <c r="BF262" s="471"/>
      <c r="BG262" s="472"/>
      <c r="BH262" s="470"/>
      <c r="BI262" s="471"/>
      <c r="BJ262" s="471"/>
      <c r="BK262" s="470"/>
      <c r="BL262" s="471"/>
      <c r="BM262" s="472"/>
      <c r="BN262" s="470"/>
      <c r="BO262" s="471"/>
      <c r="BP262" s="471"/>
      <c r="BQ262" s="470"/>
      <c r="BR262" s="471"/>
      <c r="BS262" s="472"/>
      <c r="BT262" s="470"/>
      <c r="BU262" s="471"/>
      <c r="BV262" s="471"/>
      <c r="BW262" s="470"/>
      <c r="BX262" s="471"/>
      <c r="BY262" s="472"/>
      <c r="BZ262" s="39">
        <v>43.3</v>
      </c>
      <c r="CA262" s="24">
        <v>21</v>
      </c>
      <c r="CB262" s="24">
        <v>-75</v>
      </c>
      <c r="CC262" s="39">
        <v>90</v>
      </c>
      <c r="CD262" s="24">
        <v>21</v>
      </c>
      <c r="CE262" s="24">
        <v>-77</v>
      </c>
      <c r="CF262" s="297">
        <v>195</v>
      </c>
      <c r="CG262" s="24">
        <v>21</v>
      </c>
      <c r="CH262" s="308">
        <v>-79</v>
      </c>
      <c r="CI262" s="297">
        <v>390</v>
      </c>
      <c r="CJ262" s="24">
        <v>20</v>
      </c>
      <c r="CK262" s="308">
        <v>-77</v>
      </c>
    </row>
    <row r="263" spans="5:89" x14ac:dyDescent="0.2">
      <c r="F263" s="297"/>
      <c r="G263" s="481"/>
      <c r="H263" s="481"/>
      <c r="I263" s="470"/>
      <c r="J263" s="471"/>
      <c r="K263" s="472"/>
      <c r="L263" s="470"/>
      <c r="M263" s="471"/>
      <c r="N263" s="471"/>
      <c r="O263" s="470"/>
      <c r="P263" s="471"/>
      <c r="Q263" s="472"/>
      <c r="R263" s="297">
        <v>36</v>
      </c>
      <c r="S263" s="481">
        <v>21</v>
      </c>
      <c r="T263" s="485">
        <v>-77</v>
      </c>
      <c r="U263" s="470"/>
      <c r="V263" s="471"/>
      <c r="W263" s="472"/>
      <c r="X263" s="470"/>
      <c r="Y263" s="471"/>
      <c r="Z263" s="471"/>
      <c r="AA263" s="470"/>
      <c r="AB263" s="471"/>
      <c r="AC263" s="472"/>
      <c r="AD263" s="39"/>
      <c r="AE263" s="481"/>
      <c r="AF263" s="481"/>
      <c r="AG263" s="21"/>
      <c r="AH263" s="481"/>
      <c r="AI263" s="482"/>
      <c r="AJ263" s="470"/>
      <c r="AK263" s="471"/>
      <c r="AL263" s="471"/>
      <c r="AM263" s="470"/>
      <c r="AN263" s="471"/>
      <c r="AO263" s="472"/>
      <c r="AP263" s="39">
        <v>57.8</v>
      </c>
      <c r="AQ263" s="481">
        <v>21</v>
      </c>
      <c r="AR263" s="482">
        <v>-74</v>
      </c>
      <c r="AS263" s="24">
        <v>120</v>
      </c>
      <c r="AT263" s="481">
        <v>21</v>
      </c>
      <c r="AU263" s="482">
        <v>-73</v>
      </c>
      <c r="AV263" s="470"/>
      <c r="AW263" s="471"/>
      <c r="AX263" s="471"/>
      <c r="AY263" s="470"/>
      <c r="AZ263" s="471"/>
      <c r="BA263" s="472"/>
      <c r="BB263" s="470"/>
      <c r="BC263" s="471"/>
      <c r="BD263" s="471"/>
      <c r="BE263" s="470"/>
      <c r="BF263" s="471"/>
      <c r="BG263" s="472"/>
      <c r="BH263" s="470"/>
      <c r="BI263" s="471"/>
      <c r="BJ263" s="471"/>
      <c r="BK263" s="470"/>
      <c r="BL263" s="471"/>
      <c r="BM263" s="472"/>
      <c r="BN263" s="470"/>
      <c r="BO263" s="471"/>
      <c r="BP263" s="471"/>
      <c r="BQ263" s="470"/>
      <c r="BR263" s="471"/>
      <c r="BS263" s="472"/>
      <c r="BT263" s="470"/>
      <c r="BU263" s="471"/>
      <c r="BV263" s="471"/>
      <c r="BW263" s="470"/>
      <c r="BX263" s="471"/>
      <c r="BY263" s="472"/>
      <c r="BZ263" s="39">
        <v>57.8</v>
      </c>
      <c r="CA263" s="24">
        <v>21</v>
      </c>
      <c r="CB263" s="24">
        <v>-74</v>
      </c>
      <c r="CC263" s="39">
        <v>120</v>
      </c>
      <c r="CD263" s="24">
        <v>21</v>
      </c>
      <c r="CE263" s="24">
        <v>-76</v>
      </c>
      <c r="CF263" s="297">
        <v>260</v>
      </c>
      <c r="CG263" s="24">
        <v>21</v>
      </c>
      <c r="CH263" s="308">
        <v>-75</v>
      </c>
      <c r="CI263" s="297">
        <v>520</v>
      </c>
      <c r="CJ263" s="24">
        <v>20</v>
      </c>
      <c r="CK263" s="308">
        <v>-72</v>
      </c>
    </row>
    <row r="264" spans="5:89" x14ac:dyDescent="0.2">
      <c r="F264" s="297"/>
      <c r="G264" s="481"/>
      <c r="H264" s="481"/>
      <c r="I264" s="470"/>
      <c r="J264" s="471"/>
      <c r="K264" s="472"/>
      <c r="L264" s="470"/>
      <c r="M264" s="471"/>
      <c r="N264" s="471"/>
      <c r="O264" s="470"/>
      <c r="P264" s="471"/>
      <c r="Q264" s="472"/>
      <c r="R264" s="297">
        <v>48</v>
      </c>
      <c r="S264" s="481">
        <v>20</v>
      </c>
      <c r="T264" s="485">
        <v>-74</v>
      </c>
      <c r="U264" s="470"/>
      <c r="V264" s="471"/>
      <c r="W264" s="472"/>
      <c r="X264" s="470"/>
      <c r="Y264" s="471"/>
      <c r="Z264" s="471"/>
      <c r="AA264" s="470"/>
      <c r="AB264" s="471"/>
      <c r="AC264" s="472"/>
      <c r="AD264" s="39"/>
      <c r="AE264" s="481"/>
      <c r="AF264" s="481"/>
      <c r="AG264" s="21"/>
      <c r="AH264" s="481"/>
      <c r="AI264" s="482"/>
      <c r="AJ264" s="470"/>
      <c r="AK264" s="471"/>
      <c r="AL264" s="471"/>
      <c r="AM264" s="470"/>
      <c r="AN264" s="471"/>
      <c r="AO264" s="472"/>
      <c r="AP264" s="39">
        <v>65</v>
      </c>
      <c r="AQ264" s="481">
        <v>20</v>
      </c>
      <c r="AR264" s="482">
        <v>-73</v>
      </c>
      <c r="AS264" s="24">
        <v>135</v>
      </c>
      <c r="AT264" s="481">
        <v>20</v>
      </c>
      <c r="AU264" s="482">
        <v>-71</v>
      </c>
      <c r="AV264" s="470"/>
      <c r="AW264" s="471"/>
      <c r="AX264" s="471"/>
      <c r="AY264" s="470"/>
      <c r="AZ264" s="471"/>
      <c r="BA264" s="472"/>
      <c r="BB264" s="470"/>
      <c r="BC264" s="471"/>
      <c r="BD264" s="471"/>
      <c r="BE264" s="470"/>
      <c r="BF264" s="471"/>
      <c r="BG264" s="472"/>
      <c r="BH264" s="470"/>
      <c r="BI264" s="471"/>
      <c r="BJ264" s="471"/>
      <c r="BK264" s="470"/>
      <c r="BL264" s="471"/>
      <c r="BM264" s="472"/>
      <c r="BN264" s="470"/>
      <c r="BO264" s="471"/>
      <c r="BP264" s="471"/>
      <c r="BQ264" s="470"/>
      <c r="BR264" s="471"/>
      <c r="BS264" s="472"/>
      <c r="BT264" s="470"/>
      <c r="BU264" s="471"/>
      <c r="BV264" s="471"/>
      <c r="BW264" s="470"/>
      <c r="BX264" s="471"/>
      <c r="BY264" s="472"/>
      <c r="BZ264" s="39">
        <v>65</v>
      </c>
      <c r="CA264" s="24">
        <v>20</v>
      </c>
      <c r="CB264" s="24">
        <v>-73</v>
      </c>
      <c r="CC264" s="39">
        <v>135</v>
      </c>
      <c r="CD264" s="24">
        <v>20</v>
      </c>
      <c r="CE264" s="24">
        <v>-75</v>
      </c>
      <c r="CF264" s="297">
        <v>292.5</v>
      </c>
      <c r="CG264" s="24">
        <v>20</v>
      </c>
      <c r="CH264" s="308">
        <v>-73</v>
      </c>
      <c r="CI264" s="297">
        <v>585</v>
      </c>
      <c r="CJ264" s="24">
        <v>19</v>
      </c>
      <c r="CK264" s="308">
        <v>-71</v>
      </c>
    </row>
    <row r="265" spans="5:89" x14ac:dyDescent="0.2">
      <c r="F265" s="297"/>
      <c r="G265" s="481"/>
      <c r="H265" s="481"/>
      <c r="I265" s="470"/>
      <c r="J265" s="471"/>
      <c r="K265" s="472"/>
      <c r="L265" s="470"/>
      <c r="M265" s="471"/>
      <c r="N265" s="471"/>
      <c r="O265" s="470"/>
      <c r="P265" s="471"/>
      <c r="Q265" s="472"/>
      <c r="R265" s="297">
        <v>54</v>
      </c>
      <c r="S265" s="481">
        <v>20</v>
      </c>
      <c r="T265" s="485">
        <v>-73</v>
      </c>
      <c r="U265" s="470"/>
      <c r="V265" s="471"/>
      <c r="W265" s="472"/>
      <c r="X265" s="470"/>
      <c r="Y265" s="471"/>
      <c r="Z265" s="471"/>
      <c r="AA265" s="470"/>
      <c r="AB265" s="471"/>
      <c r="AC265" s="472"/>
      <c r="AD265" s="39"/>
      <c r="AE265" s="481"/>
      <c r="AF265" s="481"/>
      <c r="AG265" s="21"/>
      <c r="AH265" s="481"/>
      <c r="AI265" s="482"/>
      <c r="AJ265" s="470"/>
      <c r="AK265" s="471"/>
      <c r="AL265" s="471"/>
      <c r="AM265" s="470"/>
      <c r="AN265" s="471"/>
      <c r="AO265" s="472"/>
      <c r="AP265" s="39">
        <v>72.2</v>
      </c>
      <c r="AQ265" s="481">
        <v>20</v>
      </c>
      <c r="AR265" s="482">
        <v>-71</v>
      </c>
      <c r="AS265" s="21">
        <v>150</v>
      </c>
      <c r="AT265" s="481">
        <v>20</v>
      </c>
      <c r="AU265" s="482">
        <v>-69</v>
      </c>
      <c r="AV265" s="470"/>
      <c r="AW265" s="471"/>
      <c r="AX265" s="471"/>
      <c r="AY265" s="470"/>
      <c r="AZ265" s="471"/>
      <c r="BA265" s="472"/>
      <c r="BB265" s="470"/>
      <c r="BC265" s="471"/>
      <c r="BD265" s="471"/>
      <c r="BE265" s="470"/>
      <c r="BF265" s="471"/>
      <c r="BG265" s="472"/>
      <c r="BH265" s="470"/>
      <c r="BI265" s="471"/>
      <c r="BJ265" s="471"/>
      <c r="BK265" s="470"/>
      <c r="BL265" s="471"/>
      <c r="BM265" s="472"/>
      <c r="BN265" s="470"/>
      <c r="BO265" s="471"/>
      <c r="BP265" s="471"/>
      <c r="BQ265" s="470"/>
      <c r="BR265" s="471"/>
      <c r="BS265" s="472"/>
      <c r="BT265" s="470"/>
      <c r="BU265" s="471"/>
      <c r="BV265" s="471"/>
      <c r="BW265" s="470"/>
      <c r="BX265" s="471"/>
      <c r="BY265" s="472"/>
      <c r="BZ265" s="39">
        <v>72.2</v>
      </c>
      <c r="CA265" s="24">
        <v>20</v>
      </c>
      <c r="CB265" s="24">
        <v>-71</v>
      </c>
      <c r="CC265" s="39">
        <v>150</v>
      </c>
      <c r="CD265" s="24">
        <v>20</v>
      </c>
      <c r="CE265" s="24">
        <v>-71</v>
      </c>
      <c r="CF265" s="297">
        <v>325</v>
      </c>
      <c r="CG265" s="24">
        <v>20</v>
      </c>
      <c r="CH265" s="308">
        <v>-72</v>
      </c>
      <c r="CI265" s="297">
        <v>650</v>
      </c>
      <c r="CJ265" s="24">
        <v>19</v>
      </c>
      <c r="CK265" s="308">
        <v>-69</v>
      </c>
    </row>
    <row r="266" spans="5:89" x14ac:dyDescent="0.2">
      <c r="F266" s="297"/>
      <c r="G266" s="481"/>
      <c r="H266" s="481"/>
      <c r="I266" s="470"/>
      <c r="J266" s="471"/>
      <c r="K266" s="472"/>
      <c r="L266" s="470"/>
      <c r="M266" s="471"/>
      <c r="N266" s="471"/>
      <c r="O266" s="470"/>
      <c r="P266" s="471"/>
      <c r="Q266" s="472"/>
      <c r="R266" s="52"/>
      <c r="S266" s="2"/>
      <c r="T266" s="2"/>
      <c r="U266" s="470"/>
      <c r="V266" s="471"/>
      <c r="W266" s="472"/>
      <c r="X266" s="470"/>
      <c r="Y266" s="471"/>
      <c r="Z266" s="471"/>
      <c r="AA266" s="470"/>
      <c r="AB266" s="471"/>
      <c r="AC266" s="472"/>
      <c r="AD266" s="39"/>
      <c r="AE266" s="24"/>
      <c r="AF266" s="24"/>
      <c r="AG266" s="39"/>
      <c r="AH266" s="24"/>
      <c r="AI266" s="95"/>
      <c r="AJ266" s="470"/>
      <c r="AK266" s="471"/>
      <c r="AL266" s="471"/>
      <c r="AM266" s="470"/>
      <c r="AN266" s="471"/>
      <c r="AO266" s="472"/>
      <c r="AP266" s="39"/>
      <c r="AQ266" s="2"/>
      <c r="AR266" s="10"/>
      <c r="AS266" s="2"/>
      <c r="AT266" s="2"/>
      <c r="AU266" s="53"/>
      <c r="AV266" s="470"/>
      <c r="AW266" s="471"/>
      <c r="AX266" s="471"/>
      <c r="AY266" s="470"/>
      <c r="AZ266" s="471"/>
      <c r="BA266" s="472"/>
      <c r="BB266" s="470"/>
      <c r="BC266" s="471"/>
      <c r="BD266" s="471"/>
      <c r="BE266" s="470"/>
      <c r="BF266" s="471"/>
      <c r="BG266" s="472"/>
      <c r="BH266" s="470"/>
      <c r="BI266" s="471"/>
      <c r="BJ266" s="471"/>
      <c r="BK266" s="470"/>
      <c r="BL266" s="471"/>
      <c r="BM266" s="472"/>
      <c r="BN266" s="470"/>
      <c r="BO266" s="471"/>
      <c r="BP266" s="471"/>
      <c r="BQ266" s="470"/>
      <c r="BR266" s="471"/>
      <c r="BS266" s="472"/>
      <c r="BT266" s="470"/>
      <c r="BU266" s="471"/>
      <c r="BV266" s="471"/>
      <c r="BW266" s="470"/>
      <c r="BX266" s="471"/>
      <c r="BY266" s="472"/>
      <c r="BZ266" s="39"/>
      <c r="CA266" s="24"/>
      <c r="CB266" s="24"/>
      <c r="CC266" s="39"/>
      <c r="CD266" s="24"/>
      <c r="CE266" s="24"/>
      <c r="CF266" s="297">
        <v>390</v>
      </c>
      <c r="CG266" s="24">
        <v>19</v>
      </c>
      <c r="CH266" s="308">
        <v>-68</v>
      </c>
      <c r="CI266" s="297">
        <v>780</v>
      </c>
      <c r="CJ266" s="24">
        <v>18</v>
      </c>
      <c r="CK266" s="308">
        <v>-65</v>
      </c>
    </row>
    <row r="267" spans="5:89" x14ac:dyDescent="0.2">
      <c r="F267" s="297"/>
      <c r="G267" s="481"/>
      <c r="H267" s="481"/>
      <c r="I267" s="470"/>
      <c r="J267" s="471"/>
      <c r="K267" s="472"/>
      <c r="L267" s="470"/>
      <c r="M267" s="471"/>
      <c r="N267" s="471"/>
      <c r="O267" s="470"/>
      <c r="P267" s="471"/>
      <c r="Q267" s="472"/>
      <c r="R267" s="52"/>
      <c r="S267" s="31"/>
      <c r="T267" s="31"/>
      <c r="U267" s="470"/>
      <c r="V267" s="471"/>
      <c r="W267" s="472"/>
      <c r="X267" s="470"/>
      <c r="Y267" s="471"/>
      <c r="Z267" s="471"/>
      <c r="AA267" s="470"/>
      <c r="AB267" s="471"/>
      <c r="AC267" s="472"/>
      <c r="AD267" s="39"/>
      <c r="AE267" s="24"/>
      <c r="AF267" s="24"/>
      <c r="AG267" s="39"/>
      <c r="AH267" s="24"/>
      <c r="AI267" s="95"/>
      <c r="AJ267" s="470"/>
      <c r="AK267" s="471"/>
      <c r="AL267" s="471"/>
      <c r="AM267" s="470"/>
      <c r="AN267" s="471"/>
      <c r="AO267" s="472"/>
      <c r="AP267" s="52"/>
      <c r="AQ267" s="2"/>
      <c r="AR267" s="10"/>
      <c r="AS267" s="2"/>
      <c r="AT267" s="2"/>
      <c r="AU267" s="53"/>
      <c r="AV267" s="470"/>
      <c r="AW267" s="471"/>
      <c r="AX267" s="471"/>
      <c r="AY267" s="470"/>
      <c r="AZ267" s="471"/>
      <c r="BA267" s="472"/>
      <c r="BB267" s="470"/>
      <c r="BC267" s="471"/>
      <c r="BD267" s="471"/>
      <c r="BE267" s="470"/>
      <c r="BF267" s="471"/>
      <c r="BG267" s="472"/>
      <c r="BH267" s="470"/>
      <c r="BI267" s="471"/>
      <c r="BJ267" s="471"/>
      <c r="BK267" s="470"/>
      <c r="BL267" s="471"/>
      <c r="BM267" s="472"/>
      <c r="BN267" s="470"/>
      <c r="BO267" s="471"/>
      <c r="BP267" s="471"/>
      <c r="BQ267" s="470"/>
      <c r="BR267" s="471"/>
      <c r="BS267" s="472"/>
      <c r="BT267" s="470"/>
      <c r="BU267" s="471"/>
      <c r="BV267" s="471"/>
      <c r="BW267" s="470"/>
      <c r="BX267" s="471"/>
      <c r="BY267" s="472"/>
      <c r="BZ267" s="39"/>
      <c r="CA267" s="24"/>
      <c r="CB267" s="24"/>
      <c r="CC267" s="39"/>
      <c r="CD267" s="24"/>
      <c r="CE267" s="24"/>
      <c r="CF267" s="297">
        <v>433.3</v>
      </c>
      <c r="CG267" s="24">
        <v>18</v>
      </c>
      <c r="CH267" s="308">
        <v>-67</v>
      </c>
      <c r="CI267" s="297">
        <v>866.7</v>
      </c>
      <c r="CJ267" s="24">
        <v>17</v>
      </c>
      <c r="CK267" s="308">
        <v>-64</v>
      </c>
    </row>
    <row r="268" spans="5:89" ht="10.5" thickBot="1" x14ac:dyDescent="0.25">
      <c r="F268" s="298"/>
      <c r="G268" s="486"/>
      <c r="H268" s="486"/>
      <c r="I268" s="473"/>
      <c r="J268" s="474"/>
      <c r="K268" s="475"/>
      <c r="L268" s="473"/>
      <c r="M268" s="474"/>
      <c r="N268" s="474"/>
      <c r="O268" s="473"/>
      <c r="P268" s="474"/>
      <c r="Q268" s="475"/>
      <c r="R268" s="54"/>
      <c r="S268" s="303"/>
      <c r="T268" s="303"/>
      <c r="U268" s="473"/>
      <c r="V268" s="474"/>
      <c r="W268" s="475"/>
      <c r="X268" s="473"/>
      <c r="Y268" s="474"/>
      <c r="Z268" s="474"/>
      <c r="AA268" s="473"/>
      <c r="AB268" s="474"/>
      <c r="AC268" s="475"/>
      <c r="AD268" s="304"/>
      <c r="AE268" s="399"/>
      <c r="AF268" s="399"/>
      <c r="AG268" s="304"/>
      <c r="AH268" s="399"/>
      <c r="AI268" s="477"/>
      <c r="AJ268" s="473"/>
      <c r="AK268" s="474"/>
      <c r="AL268" s="474"/>
      <c r="AM268" s="473"/>
      <c r="AN268" s="474"/>
      <c r="AO268" s="475"/>
      <c r="AP268" s="54"/>
      <c r="AQ268" s="55"/>
      <c r="AR268" s="309"/>
      <c r="AS268" s="55"/>
      <c r="AT268" s="55"/>
      <c r="AU268" s="56"/>
      <c r="AV268" s="473"/>
      <c r="AW268" s="474"/>
      <c r="AX268" s="474"/>
      <c r="AY268" s="473"/>
      <c r="AZ268" s="474"/>
      <c r="BA268" s="475"/>
      <c r="BB268" s="473"/>
      <c r="BC268" s="474"/>
      <c r="BD268" s="474"/>
      <c r="BE268" s="473"/>
      <c r="BF268" s="474"/>
      <c r="BG268" s="475"/>
      <c r="BH268" s="473"/>
      <c r="BI268" s="474"/>
      <c r="BJ268" s="474"/>
      <c r="BK268" s="473"/>
      <c r="BL268" s="474"/>
      <c r="BM268" s="475"/>
      <c r="BN268" s="473"/>
      <c r="BO268" s="474"/>
      <c r="BP268" s="474"/>
      <c r="BQ268" s="473"/>
      <c r="BR268" s="474"/>
      <c r="BS268" s="475"/>
      <c r="BT268" s="473"/>
      <c r="BU268" s="474"/>
      <c r="BV268" s="474"/>
      <c r="BW268" s="473"/>
      <c r="BX268" s="474"/>
      <c r="BY268" s="475"/>
      <c r="BZ268" s="304"/>
      <c r="CA268" s="399"/>
      <c r="CB268" s="399"/>
      <c r="CC268" s="304"/>
      <c r="CD268" s="399"/>
      <c r="CE268" s="399"/>
      <c r="CF268" s="298"/>
      <c r="CG268" s="399"/>
      <c r="CH268" s="478"/>
      <c r="CI268" s="298"/>
      <c r="CJ268" s="399"/>
      <c r="CK268" s="478"/>
    </row>
    <row r="270" spans="5:89" ht="10.5" x14ac:dyDescent="0.25">
      <c r="F270" s="26" t="s">
        <v>0</v>
      </c>
      <c r="G270" s="26"/>
      <c r="H270" s="449"/>
      <c r="I270" s="26"/>
      <c r="J270" s="26"/>
      <c r="K270" s="26"/>
      <c r="L270" s="26"/>
      <c r="M270" s="26"/>
      <c r="N270" s="26"/>
      <c r="O270" s="26"/>
      <c r="P270" s="26"/>
      <c r="Q270" s="26"/>
      <c r="R270" s="449" t="s">
        <v>1</v>
      </c>
      <c r="S270" s="25"/>
      <c r="T270" s="452"/>
      <c r="U270" s="25"/>
      <c r="AD270" s="450" t="s">
        <v>410</v>
      </c>
      <c r="AE270" s="450"/>
      <c r="AF270" s="451"/>
      <c r="AG270" s="450"/>
      <c r="AP270" s="450" t="s">
        <v>411</v>
      </c>
      <c r="AQ270" s="450"/>
      <c r="AR270" s="451"/>
      <c r="AS270" s="450"/>
      <c r="BB270" s="44" t="s">
        <v>223</v>
      </c>
      <c r="BD270" s="155"/>
      <c r="BN270" s="44" t="s">
        <v>351</v>
      </c>
      <c r="BZ270" s="44" t="s">
        <v>515</v>
      </c>
      <c r="CF270" s="2"/>
      <c r="CG270" s="2"/>
      <c r="CH270" s="2"/>
      <c r="CI270" s="2"/>
      <c r="CJ270" s="2"/>
      <c r="CK270" s="2"/>
    </row>
    <row r="271" spans="5:89" ht="11" thickBot="1" x14ac:dyDescent="0.3">
      <c r="F271" s="26" t="s">
        <v>113</v>
      </c>
      <c r="G271" s="26" t="s">
        <v>108</v>
      </c>
      <c r="H271" s="26" t="s">
        <v>109</v>
      </c>
      <c r="I271" s="26" t="s">
        <v>110</v>
      </c>
      <c r="J271" s="26" t="s">
        <v>111</v>
      </c>
      <c r="K271" s="26" t="s">
        <v>112</v>
      </c>
      <c r="L271" s="26"/>
      <c r="M271" s="26"/>
      <c r="N271" s="26"/>
      <c r="O271" s="26"/>
      <c r="P271" s="26"/>
      <c r="Q271" s="26"/>
      <c r="R271" s="26" t="s">
        <v>113</v>
      </c>
      <c r="S271" s="159" t="s">
        <v>108</v>
      </c>
      <c r="T271" s="159" t="s">
        <v>109</v>
      </c>
      <c r="U271" s="26" t="s">
        <v>110</v>
      </c>
      <c r="V271" s="26" t="s">
        <v>111</v>
      </c>
      <c r="W271" s="26" t="s">
        <v>112</v>
      </c>
      <c r="X271" s="26"/>
      <c r="Y271" s="26"/>
      <c r="Z271" s="26"/>
      <c r="AA271" s="26"/>
      <c r="AB271" s="26"/>
      <c r="AC271" s="26"/>
      <c r="AD271" s="159" t="s">
        <v>88</v>
      </c>
      <c r="AE271" s="159" t="s">
        <v>83</v>
      </c>
      <c r="AF271" s="159" t="s">
        <v>84</v>
      </c>
      <c r="AG271" s="159" t="s">
        <v>87</v>
      </c>
      <c r="AH271" s="159" t="s">
        <v>85</v>
      </c>
      <c r="AI271" s="159" t="s">
        <v>86</v>
      </c>
      <c r="AJ271" s="26"/>
      <c r="AK271" s="26"/>
      <c r="AL271" s="26"/>
      <c r="AM271" s="26"/>
      <c r="AN271" s="26"/>
      <c r="AO271" s="26"/>
      <c r="AP271" s="159" t="s">
        <v>88</v>
      </c>
      <c r="AQ271" s="159" t="s">
        <v>83</v>
      </c>
      <c r="AR271" s="159" t="s">
        <v>84</v>
      </c>
      <c r="AS271" s="159" t="s">
        <v>87</v>
      </c>
      <c r="AT271" s="159" t="s">
        <v>85</v>
      </c>
      <c r="AU271" s="159" t="s">
        <v>86</v>
      </c>
      <c r="AV271" s="26"/>
      <c r="AW271" s="26"/>
      <c r="AX271" s="26"/>
      <c r="AY271" s="26"/>
      <c r="AZ271" s="26"/>
      <c r="BA271" s="26"/>
      <c r="BB271" s="102" t="s">
        <v>88</v>
      </c>
      <c r="BC271" s="102" t="s">
        <v>83</v>
      </c>
      <c r="BD271" s="102" t="s">
        <v>84</v>
      </c>
      <c r="BE271" s="102" t="s">
        <v>87</v>
      </c>
      <c r="BF271" s="102" t="s">
        <v>85</v>
      </c>
      <c r="BG271" s="102" t="s">
        <v>86</v>
      </c>
      <c r="BH271" s="26"/>
      <c r="BI271" s="26"/>
      <c r="BJ271" s="26"/>
      <c r="BK271" s="26"/>
      <c r="BL271" s="26"/>
      <c r="BM271" s="26"/>
      <c r="BN271" s="102" t="s">
        <v>88</v>
      </c>
      <c r="BO271" s="102" t="s">
        <v>83</v>
      </c>
      <c r="BP271" s="102" t="s">
        <v>84</v>
      </c>
      <c r="BQ271" s="102" t="s">
        <v>87</v>
      </c>
      <c r="BR271" s="102" t="s">
        <v>85</v>
      </c>
      <c r="BS271" s="102" t="s">
        <v>86</v>
      </c>
      <c r="BT271" s="26"/>
      <c r="BU271" s="26"/>
      <c r="BV271" s="26"/>
      <c r="BW271" s="26"/>
      <c r="BX271" s="26"/>
      <c r="BY271" s="26"/>
      <c r="BZ271" s="102" t="s">
        <v>88</v>
      </c>
      <c r="CA271" s="102" t="s">
        <v>83</v>
      </c>
      <c r="CB271" s="102" t="s">
        <v>84</v>
      </c>
      <c r="CC271" s="102" t="s">
        <v>87</v>
      </c>
      <c r="CD271" s="102" t="s">
        <v>85</v>
      </c>
      <c r="CE271" s="102" t="s">
        <v>86</v>
      </c>
      <c r="CF271" s="159" t="s">
        <v>512</v>
      </c>
      <c r="CG271" s="159" t="s">
        <v>514</v>
      </c>
      <c r="CH271" s="159" t="s">
        <v>513</v>
      </c>
      <c r="CI271" s="102" t="s">
        <v>516</v>
      </c>
      <c r="CJ271" s="102" t="s">
        <v>517</v>
      </c>
      <c r="CK271" s="102" t="s">
        <v>518</v>
      </c>
    </row>
    <row r="272" spans="5:89" x14ac:dyDescent="0.2">
      <c r="E272" s="13" t="s">
        <v>673</v>
      </c>
      <c r="F272" s="293"/>
      <c r="G272" s="479"/>
      <c r="H272" s="479"/>
      <c r="I272" s="467"/>
      <c r="J272" s="468"/>
      <c r="K272" s="469"/>
      <c r="L272" s="467"/>
      <c r="M272" s="468"/>
      <c r="N272" s="468"/>
      <c r="O272" s="467"/>
      <c r="P272" s="468"/>
      <c r="Q272" s="469"/>
      <c r="R272" s="293">
        <v>6</v>
      </c>
      <c r="S272" s="479">
        <v>21</v>
      </c>
      <c r="T272" s="484">
        <v>-94</v>
      </c>
      <c r="U272" s="467"/>
      <c r="V272" s="468"/>
      <c r="W272" s="469"/>
      <c r="X272" s="467"/>
      <c r="Y272" s="468"/>
      <c r="Z272" s="468"/>
      <c r="AA272" s="467"/>
      <c r="AB272" s="468"/>
      <c r="AC272" s="469"/>
      <c r="AD272" s="414"/>
      <c r="AE272" s="479"/>
      <c r="AF272" s="479"/>
      <c r="AG272" s="483"/>
      <c r="AH272" s="479"/>
      <c r="AI272" s="480"/>
      <c r="AJ272" s="467"/>
      <c r="AK272" s="468"/>
      <c r="AL272" s="468"/>
      <c r="AM272" s="467"/>
      <c r="AN272" s="468"/>
      <c r="AO272" s="469"/>
      <c r="AP272" s="414">
        <v>7.2</v>
      </c>
      <c r="AQ272" s="479">
        <v>21</v>
      </c>
      <c r="AR272" s="480">
        <v>-92</v>
      </c>
      <c r="AS272" s="306">
        <v>15</v>
      </c>
      <c r="AT272" s="479">
        <v>21</v>
      </c>
      <c r="AU272" s="480">
        <v>-87</v>
      </c>
      <c r="AV272" s="467"/>
      <c r="AW272" s="468"/>
      <c r="AX272" s="468"/>
      <c r="AY272" s="467"/>
      <c r="AZ272" s="468"/>
      <c r="BA272" s="469"/>
      <c r="BB272" s="467"/>
      <c r="BC272" s="468"/>
      <c r="BD272" s="468"/>
      <c r="BE272" s="467"/>
      <c r="BF272" s="468"/>
      <c r="BG272" s="469"/>
      <c r="BH272" s="467"/>
      <c r="BI272" s="468"/>
      <c r="BJ272" s="468"/>
      <c r="BK272" s="467"/>
      <c r="BL272" s="468"/>
      <c r="BM272" s="469"/>
      <c r="BN272" s="467"/>
      <c r="BO272" s="468"/>
      <c r="BP272" s="468"/>
      <c r="BQ272" s="467"/>
      <c r="BR272" s="468"/>
      <c r="BS272" s="469"/>
      <c r="BT272" s="467"/>
      <c r="BU272" s="468"/>
      <c r="BV272" s="468"/>
      <c r="BW272" s="467"/>
      <c r="BX272" s="468"/>
      <c r="BY272" s="469"/>
      <c r="BZ272" s="414">
        <v>7.2</v>
      </c>
      <c r="CA272" s="479">
        <v>21</v>
      </c>
      <c r="CB272" s="480">
        <v>-92</v>
      </c>
      <c r="CC272" s="414">
        <v>15</v>
      </c>
      <c r="CD272" s="479">
        <v>21</v>
      </c>
      <c r="CE272" s="480">
        <v>-87</v>
      </c>
      <c r="CF272" s="293">
        <v>32.5</v>
      </c>
      <c r="CG272" s="306">
        <v>21</v>
      </c>
      <c r="CH272" s="307">
        <v>-84</v>
      </c>
      <c r="CI272" s="293">
        <v>65</v>
      </c>
      <c r="CJ272" s="670">
        <v>15</v>
      </c>
      <c r="CK272" s="643">
        <v>-84</v>
      </c>
    </row>
    <row r="273" spans="5:89" x14ac:dyDescent="0.2">
      <c r="E273" s="458" t="s">
        <v>610</v>
      </c>
      <c r="F273" s="296"/>
      <c r="G273" s="481"/>
      <c r="H273" s="481"/>
      <c r="I273" s="470"/>
      <c r="J273" s="471"/>
      <c r="K273" s="472"/>
      <c r="L273" s="470"/>
      <c r="M273" s="471"/>
      <c r="N273" s="471"/>
      <c r="O273" s="470"/>
      <c r="P273" s="471"/>
      <c r="Q273" s="472"/>
      <c r="R273" s="297">
        <v>9</v>
      </c>
      <c r="S273" s="481">
        <v>21</v>
      </c>
      <c r="T273" s="485">
        <v>-93</v>
      </c>
      <c r="U273" s="470"/>
      <c r="V273" s="471"/>
      <c r="W273" s="472"/>
      <c r="X273" s="470"/>
      <c r="Y273" s="471"/>
      <c r="Z273" s="471"/>
      <c r="AA273" s="470"/>
      <c r="AB273" s="471"/>
      <c r="AC273" s="472"/>
      <c r="AD273" s="39"/>
      <c r="AE273" s="481"/>
      <c r="AF273" s="481"/>
      <c r="AG273" s="21"/>
      <c r="AH273" s="481"/>
      <c r="AI273" s="482"/>
      <c r="AJ273" s="470"/>
      <c r="AK273" s="471"/>
      <c r="AL273" s="471"/>
      <c r="AM273" s="470"/>
      <c r="AN273" s="471"/>
      <c r="AO273" s="472"/>
      <c r="AP273" s="39">
        <v>14.4</v>
      </c>
      <c r="AQ273" s="481">
        <v>21</v>
      </c>
      <c r="AR273" s="482">
        <v>-88</v>
      </c>
      <c r="AS273" s="24">
        <v>30</v>
      </c>
      <c r="AT273" s="481">
        <v>21</v>
      </c>
      <c r="AU273" s="482">
        <v>-84</v>
      </c>
      <c r="AV273" s="470"/>
      <c r="AW273" s="471"/>
      <c r="AX273" s="471"/>
      <c r="AY273" s="470"/>
      <c r="AZ273" s="471"/>
      <c r="BA273" s="472"/>
      <c r="BB273" s="470"/>
      <c r="BC273" s="471"/>
      <c r="BD273" s="471"/>
      <c r="BE273" s="470"/>
      <c r="BF273" s="471"/>
      <c r="BG273" s="472"/>
      <c r="BH273" s="470"/>
      <c r="BI273" s="471"/>
      <c r="BJ273" s="471"/>
      <c r="BK273" s="470"/>
      <c r="BL273" s="471"/>
      <c r="BM273" s="472"/>
      <c r="BN273" s="470"/>
      <c r="BO273" s="471"/>
      <c r="BP273" s="471"/>
      <c r="BQ273" s="470"/>
      <c r="BR273" s="471"/>
      <c r="BS273" s="472"/>
      <c r="BT273" s="470"/>
      <c r="BU273" s="471"/>
      <c r="BV273" s="471"/>
      <c r="BW273" s="470"/>
      <c r="BX273" s="471"/>
      <c r="BY273" s="472"/>
      <c r="BZ273" s="39">
        <v>14.4</v>
      </c>
      <c r="CA273" s="481">
        <v>21</v>
      </c>
      <c r="CB273" s="482">
        <v>-88</v>
      </c>
      <c r="CC273" s="39">
        <v>30</v>
      </c>
      <c r="CD273" s="481">
        <v>21</v>
      </c>
      <c r="CE273" s="482">
        <v>-84</v>
      </c>
      <c r="CF273" s="297">
        <v>65</v>
      </c>
      <c r="CG273" s="24">
        <v>21</v>
      </c>
      <c r="CH273" s="308">
        <v>-81</v>
      </c>
      <c r="CI273" s="297">
        <v>130</v>
      </c>
      <c r="CJ273" s="671">
        <v>15</v>
      </c>
      <c r="CK273" s="644">
        <v>-82</v>
      </c>
    </row>
    <row r="274" spans="5:89" x14ac:dyDescent="0.2">
      <c r="F274" s="297"/>
      <c r="G274" s="481"/>
      <c r="H274" s="481"/>
      <c r="I274" s="470"/>
      <c r="J274" s="471"/>
      <c r="K274" s="472"/>
      <c r="L274" s="470"/>
      <c r="M274" s="471"/>
      <c r="N274" s="471"/>
      <c r="O274" s="470"/>
      <c r="P274" s="471"/>
      <c r="Q274" s="472"/>
      <c r="R274" s="297">
        <v>12</v>
      </c>
      <c r="S274" s="481">
        <v>21</v>
      </c>
      <c r="T274" s="485">
        <v>-92</v>
      </c>
      <c r="U274" s="470"/>
      <c r="V274" s="471"/>
      <c r="W274" s="472"/>
      <c r="X274" s="470"/>
      <c r="Y274" s="471"/>
      <c r="Z274" s="471"/>
      <c r="AA274" s="470"/>
      <c r="AB274" s="471"/>
      <c r="AC274" s="472"/>
      <c r="AD274" s="39"/>
      <c r="AE274" s="481"/>
      <c r="AF274" s="481"/>
      <c r="AG274" s="21"/>
      <c r="AH274" s="481"/>
      <c r="AI274" s="482"/>
      <c r="AJ274" s="470"/>
      <c r="AK274" s="471"/>
      <c r="AL274" s="471"/>
      <c r="AM274" s="470"/>
      <c r="AN274" s="471"/>
      <c r="AO274" s="472"/>
      <c r="AP274" s="39">
        <v>21.7</v>
      </c>
      <c r="AQ274" s="481">
        <v>21</v>
      </c>
      <c r="AR274" s="482">
        <v>-85</v>
      </c>
      <c r="AS274" s="24">
        <v>45</v>
      </c>
      <c r="AT274" s="481">
        <v>21</v>
      </c>
      <c r="AU274" s="482">
        <v>-81</v>
      </c>
      <c r="AV274" s="470"/>
      <c r="AW274" s="471"/>
      <c r="AX274" s="471"/>
      <c r="AY274" s="470"/>
      <c r="AZ274" s="471"/>
      <c r="BA274" s="472"/>
      <c r="BB274" s="470"/>
      <c r="BC274" s="471"/>
      <c r="BD274" s="471"/>
      <c r="BE274" s="470"/>
      <c r="BF274" s="471"/>
      <c r="BG274" s="472"/>
      <c r="BH274" s="470"/>
      <c r="BI274" s="471"/>
      <c r="BJ274" s="471"/>
      <c r="BK274" s="470"/>
      <c r="BL274" s="471"/>
      <c r="BM274" s="472"/>
      <c r="BN274" s="470"/>
      <c r="BO274" s="471"/>
      <c r="BP274" s="471"/>
      <c r="BQ274" s="470"/>
      <c r="BR274" s="471"/>
      <c r="BS274" s="472"/>
      <c r="BT274" s="470"/>
      <c r="BU274" s="471"/>
      <c r="BV274" s="471"/>
      <c r="BW274" s="470"/>
      <c r="BX274" s="471"/>
      <c r="BY274" s="472"/>
      <c r="BZ274" s="39">
        <v>21.7</v>
      </c>
      <c r="CA274" s="481">
        <v>21</v>
      </c>
      <c r="CB274" s="482">
        <v>-85</v>
      </c>
      <c r="CC274" s="39">
        <v>45</v>
      </c>
      <c r="CD274" s="481">
        <v>21</v>
      </c>
      <c r="CE274" s="482">
        <v>-81</v>
      </c>
      <c r="CF274" s="297">
        <v>97.5</v>
      </c>
      <c r="CG274" s="24">
        <v>21</v>
      </c>
      <c r="CH274" s="308">
        <v>-78</v>
      </c>
      <c r="CI274" s="297">
        <v>195</v>
      </c>
      <c r="CJ274" s="671">
        <v>15</v>
      </c>
      <c r="CK274" s="644">
        <v>-78</v>
      </c>
    </row>
    <row r="275" spans="5:89" x14ac:dyDescent="0.2">
      <c r="F275" s="297"/>
      <c r="G275" s="481"/>
      <c r="H275" s="481"/>
      <c r="I275" s="470"/>
      <c r="J275" s="471"/>
      <c r="K275" s="472"/>
      <c r="L275" s="470"/>
      <c r="M275" s="471"/>
      <c r="N275" s="471"/>
      <c r="O275" s="470"/>
      <c r="P275" s="471"/>
      <c r="Q275" s="472"/>
      <c r="R275" s="297">
        <v>18</v>
      </c>
      <c r="S275" s="481">
        <v>21</v>
      </c>
      <c r="T275" s="485">
        <v>-90</v>
      </c>
      <c r="U275" s="470"/>
      <c r="V275" s="471"/>
      <c r="W275" s="472"/>
      <c r="X275" s="470"/>
      <c r="Y275" s="471"/>
      <c r="Z275" s="471"/>
      <c r="AA275" s="470"/>
      <c r="AB275" s="471"/>
      <c r="AC275" s="472"/>
      <c r="AD275" s="39"/>
      <c r="AE275" s="481"/>
      <c r="AF275" s="481"/>
      <c r="AG275" s="21"/>
      <c r="AH275" s="481"/>
      <c r="AI275" s="482"/>
      <c r="AJ275" s="470"/>
      <c r="AK275" s="471"/>
      <c r="AL275" s="471"/>
      <c r="AM275" s="470"/>
      <c r="AN275" s="471"/>
      <c r="AO275" s="472"/>
      <c r="AP275" s="39">
        <v>28.9</v>
      </c>
      <c r="AQ275" s="481">
        <v>21</v>
      </c>
      <c r="AR275" s="482">
        <v>-83</v>
      </c>
      <c r="AS275" s="24">
        <v>60</v>
      </c>
      <c r="AT275" s="481">
        <v>21</v>
      </c>
      <c r="AU275" s="482">
        <v>-79</v>
      </c>
      <c r="AV275" s="470"/>
      <c r="AW275" s="471"/>
      <c r="AX275" s="471"/>
      <c r="AY275" s="470"/>
      <c r="AZ275" s="471"/>
      <c r="BA275" s="472"/>
      <c r="BB275" s="470"/>
      <c r="BC275" s="471"/>
      <c r="BD275" s="471"/>
      <c r="BE275" s="470"/>
      <c r="BF275" s="471"/>
      <c r="BG275" s="472"/>
      <c r="BH275" s="470"/>
      <c r="BI275" s="471"/>
      <c r="BJ275" s="471"/>
      <c r="BK275" s="470"/>
      <c r="BL275" s="471"/>
      <c r="BM275" s="472"/>
      <c r="BN275" s="470"/>
      <c r="BO275" s="471"/>
      <c r="BP275" s="471"/>
      <c r="BQ275" s="470"/>
      <c r="BR275" s="471"/>
      <c r="BS275" s="472"/>
      <c r="BT275" s="470"/>
      <c r="BU275" s="471"/>
      <c r="BV275" s="471"/>
      <c r="BW275" s="470"/>
      <c r="BX275" s="471"/>
      <c r="BY275" s="472"/>
      <c r="BZ275" s="39">
        <v>28.9</v>
      </c>
      <c r="CA275" s="481">
        <v>21</v>
      </c>
      <c r="CB275" s="482">
        <v>-83</v>
      </c>
      <c r="CC275" s="39">
        <v>60</v>
      </c>
      <c r="CD275" s="481">
        <v>21</v>
      </c>
      <c r="CE275" s="482">
        <v>-79</v>
      </c>
      <c r="CF275" s="297">
        <v>130</v>
      </c>
      <c r="CG275" s="24">
        <v>21</v>
      </c>
      <c r="CH275" s="308">
        <v>-76</v>
      </c>
      <c r="CI275" s="297">
        <v>260</v>
      </c>
      <c r="CJ275" s="671">
        <v>14</v>
      </c>
      <c r="CK275" s="644">
        <v>-75</v>
      </c>
    </row>
    <row r="276" spans="5:89" x14ac:dyDescent="0.2">
      <c r="F276" s="297"/>
      <c r="G276" s="481"/>
      <c r="H276" s="481"/>
      <c r="I276" s="470"/>
      <c r="J276" s="471"/>
      <c r="K276" s="472"/>
      <c r="L276" s="470"/>
      <c r="M276" s="471"/>
      <c r="N276" s="471"/>
      <c r="O276" s="470"/>
      <c r="P276" s="471"/>
      <c r="Q276" s="472"/>
      <c r="R276" s="297">
        <v>24</v>
      </c>
      <c r="S276" s="481">
        <v>21</v>
      </c>
      <c r="T276" s="485">
        <v>-87</v>
      </c>
      <c r="U276" s="470"/>
      <c r="V276" s="471"/>
      <c r="W276" s="472"/>
      <c r="X276" s="470"/>
      <c r="Y276" s="471"/>
      <c r="Z276" s="471"/>
      <c r="AA276" s="470"/>
      <c r="AB276" s="471"/>
      <c r="AC276" s="472"/>
      <c r="AD276" s="39"/>
      <c r="AE276" s="481"/>
      <c r="AF276" s="481"/>
      <c r="AG276" s="21"/>
      <c r="AH276" s="481"/>
      <c r="AI276" s="482"/>
      <c r="AJ276" s="470"/>
      <c r="AK276" s="471"/>
      <c r="AL276" s="471"/>
      <c r="AM276" s="470"/>
      <c r="AN276" s="471"/>
      <c r="AO276" s="472"/>
      <c r="AP276" s="39">
        <v>43.3</v>
      </c>
      <c r="AQ276" s="481">
        <v>20</v>
      </c>
      <c r="AR276" s="482">
        <v>-79</v>
      </c>
      <c r="AS276" s="24">
        <v>90</v>
      </c>
      <c r="AT276" s="481">
        <v>20</v>
      </c>
      <c r="AU276" s="482">
        <v>-75</v>
      </c>
      <c r="AV276" s="470"/>
      <c r="AW276" s="471"/>
      <c r="AX276" s="471"/>
      <c r="AY276" s="470"/>
      <c r="AZ276" s="471"/>
      <c r="BA276" s="472"/>
      <c r="BB276" s="470"/>
      <c r="BC276" s="471"/>
      <c r="BD276" s="471"/>
      <c r="BE276" s="470"/>
      <c r="BF276" s="471"/>
      <c r="BG276" s="472"/>
      <c r="BH276" s="470"/>
      <c r="BI276" s="471"/>
      <c r="BJ276" s="471"/>
      <c r="BK276" s="470"/>
      <c r="BL276" s="471"/>
      <c r="BM276" s="472"/>
      <c r="BN276" s="470"/>
      <c r="BO276" s="471"/>
      <c r="BP276" s="471"/>
      <c r="BQ276" s="470"/>
      <c r="BR276" s="471"/>
      <c r="BS276" s="472"/>
      <c r="BT276" s="470"/>
      <c r="BU276" s="471"/>
      <c r="BV276" s="471"/>
      <c r="BW276" s="470"/>
      <c r="BX276" s="471"/>
      <c r="BY276" s="472"/>
      <c r="BZ276" s="39">
        <v>43.3</v>
      </c>
      <c r="CA276" s="481">
        <v>20</v>
      </c>
      <c r="CB276" s="482">
        <v>-79</v>
      </c>
      <c r="CC276" s="39">
        <v>90</v>
      </c>
      <c r="CD276" s="481">
        <v>20</v>
      </c>
      <c r="CE276" s="482">
        <v>-75</v>
      </c>
      <c r="CF276" s="297">
        <v>195</v>
      </c>
      <c r="CG276" s="24">
        <v>20</v>
      </c>
      <c r="CH276" s="308">
        <v>-71</v>
      </c>
      <c r="CI276" s="297">
        <v>390</v>
      </c>
      <c r="CJ276" s="671">
        <v>14</v>
      </c>
      <c r="CK276" s="644">
        <v>-70</v>
      </c>
    </row>
    <row r="277" spans="5:89" x14ac:dyDescent="0.2">
      <c r="F277" s="297"/>
      <c r="G277" s="481"/>
      <c r="H277" s="481"/>
      <c r="I277" s="470"/>
      <c r="J277" s="471"/>
      <c r="K277" s="472"/>
      <c r="L277" s="470"/>
      <c r="M277" s="471"/>
      <c r="N277" s="471"/>
      <c r="O277" s="470"/>
      <c r="P277" s="471"/>
      <c r="Q277" s="472"/>
      <c r="R277" s="297">
        <v>36</v>
      </c>
      <c r="S277" s="481">
        <v>21</v>
      </c>
      <c r="T277" s="485">
        <v>-83</v>
      </c>
      <c r="U277" s="470"/>
      <c r="V277" s="471"/>
      <c r="W277" s="472"/>
      <c r="X277" s="470"/>
      <c r="Y277" s="471"/>
      <c r="Z277" s="471"/>
      <c r="AA277" s="470"/>
      <c r="AB277" s="471"/>
      <c r="AC277" s="472"/>
      <c r="AD277" s="39"/>
      <c r="AE277" s="481"/>
      <c r="AF277" s="481"/>
      <c r="AG277" s="21"/>
      <c r="AH277" s="481"/>
      <c r="AI277" s="482"/>
      <c r="AJ277" s="470"/>
      <c r="AK277" s="471"/>
      <c r="AL277" s="471"/>
      <c r="AM277" s="470"/>
      <c r="AN277" s="471"/>
      <c r="AO277" s="472"/>
      <c r="AP277" s="39">
        <v>57.8</v>
      </c>
      <c r="AQ277" s="481">
        <v>19</v>
      </c>
      <c r="AR277" s="482">
        <v>-73</v>
      </c>
      <c r="AS277" s="24">
        <v>120</v>
      </c>
      <c r="AT277" s="481">
        <v>19</v>
      </c>
      <c r="AU277" s="482">
        <v>-71</v>
      </c>
      <c r="AV277" s="470"/>
      <c r="AW277" s="471"/>
      <c r="AX277" s="471"/>
      <c r="AY277" s="470"/>
      <c r="AZ277" s="471"/>
      <c r="BA277" s="472"/>
      <c r="BB277" s="470"/>
      <c r="BC277" s="471"/>
      <c r="BD277" s="471"/>
      <c r="BE277" s="470"/>
      <c r="BF277" s="471"/>
      <c r="BG277" s="472"/>
      <c r="BH277" s="470"/>
      <c r="BI277" s="471"/>
      <c r="BJ277" s="471"/>
      <c r="BK277" s="470"/>
      <c r="BL277" s="471"/>
      <c r="BM277" s="472"/>
      <c r="BN277" s="470"/>
      <c r="BO277" s="471"/>
      <c r="BP277" s="471"/>
      <c r="BQ277" s="470"/>
      <c r="BR277" s="471"/>
      <c r="BS277" s="472"/>
      <c r="BT277" s="470"/>
      <c r="BU277" s="471"/>
      <c r="BV277" s="471"/>
      <c r="BW277" s="470"/>
      <c r="BX277" s="471"/>
      <c r="BY277" s="472"/>
      <c r="BZ277" s="39">
        <v>57.8</v>
      </c>
      <c r="CA277" s="481">
        <v>19</v>
      </c>
      <c r="CB277" s="482">
        <v>-73</v>
      </c>
      <c r="CC277" s="39">
        <v>120</v>
      </c>
      <c r="CD277" s="481">
        <v>19</v>
      </c>
      <c r="CE277" s="482">
        <v>-71</v>
      </c>
      <c r="CF277" s="297">
        <v>260</v>
      </c>
      <c r="CG277" s="24">
        <v>19</v>
      </c>
      <c r="CH277" s="308">
        <v>-67</v>
      </c>
      <c r="CI277" s="297">
        <v>520</v>
      </c>
      <c r="CJ277" s="671">
        <v>13</v>
      </c>
      <c r="CK277" s="644">
        <v>-66</v>
      </c>
    </row>
    <row r="278" spans="5:89" x14ac:dyDescent="0.2">
      <c r="F278" s="297"/>
      <c r="G278" s="481"/>
      <c r="H278" s="481"/>
      <c r="I278" s="470"/>
      <c r="J278" s="471"/>
      <c r="K278" s="472"/>
      <c r="L278" s="470"/>
      <c r="M278" s="471"/>
      <c r="N278" s="471"/>
      <c r="O278" s="470"/>
      <c r="P278" s="471"/>
      <c r="Q278" s="472"/>
      <c r="R278" s="297">
        <v>48</v>
      </c>
      <c r="S278" s="481">
        <v>20</v>
      </c>
      <c r="T278" s="485">
        <v>-78</v>
      </c>
      <c r="U278" s="470"/>
      <c r="V278" s="471"/>
      <c r="W278" s="472"/>
      <c r="X278" s="470"/>
      <c r="Y278" s="471"/>
      <c r="Z278" s="471"/>
      <c r="AA278" s="470"/>
      <c r="AB278" s="471"/>
      <c r="AC278" s="472"/>
      <c r="AD278" s="39"/>
      <c r="AE278" s="481"/>
      <c r="AF278" s="481"/>
      <c r="AG278" s="21"/>
      <c r="AH278" s="481"/>
      <c r="AI278" s="482"/>
      <c r="AJ278" s="470"/>
      <c r="AK278" s="471"/>
      <c r="AL278" s="471"/>
      <c r="AM278" s="470"/>
      <c r="AN278" s="471"/>
      <c r="AO278" s="472"/>
      <c r="AP278" s="39">
        <v>65</v>
      </c>
      <c r="AQ278" s="481">
        <v>19</v>
      </c>
      <c r="AR278" s="482">
        <v>-71</v>
      </c>
      <c r="AS278" s="24">
        <v>135</v>
      </c>
      <c r="AT278" s="481">
        <v>19</v>
      </c>
      <c r="AU278" s="482">
        <v>-70</v>
      </c>
      <c r="AV278" s="470"/>
      <c r="AW278" s="471"/>
      <c r="AX278" s="471"/>
      <c r="AY278" s="470"/>
      <c r="AZ278" s="471"/>
      <c r="BA278" s="472"/>
      <c r="BB278" s="470"/>
      <c r="BC278" s="471"/>
      <c r="BD278" s="471"/>
      <c r="BE278" s="470"/>
      <c r="BF278" s="471"/>
      <c r="BG278" s="472"/>
      <c r="BH278" s="470"/>
      <c r="BI278" s="471"/>
      <c r="BJ278" s="471"/>
      <c r="BK278" s="470"/>
      <c r="BL278" s="471"/>
      <c r="BM278" s="472"/>
      <c r="BN278" s="470"/>
      <c r="BO278" s="471"/>
      <c r="BP278" s="471"/>
      <c r="BQ278" s="470"/>
      <c r="BR278" s="471"/>
      <c r="BS278" s="472"/>
      <c r="BT278" s="470"/>
      <c r="BU278" s="471"/>
      <c r="BV278" s="471"/>
      <c r="BW278" s="470"/>
      <c r="BX278" s="471"/>
      <c r="BY278" s="472"/>
      <c r="BZ278" s="39">
        <v>65</v>
      </c>
      <c r="CA278" s="481">
        <v>19</v>
      </c>
      <c r="CB278" s="482">
        <v>-71</v>
      </c>
      <c r="CC278" s="39">
        <v>135</v>
      </c>
      <c r="CD278" s="481">
        <v>19</v>
      </c>
      <c r="CE278" s="482">
        <v>-70</v>
      </c>
      <c r="CF278" s="297">
        <v>292.5</v>
      </c>
      <c r="CG278" s="24">
        <v>19</v>
      </c>
      <c r="CH278" s="308">
        <v>-66</v>
      </c>
      <c r="CI278" s="297">
        <v>585</v>
      </c>
      <c r="CJ278" s="671">
        <v>13</v>
      </c>
      <c r="CK278" s="644">
        <v>-64</v>
      </c>
    </row>
    <row r="279" spans="5:89" x14ac:dyDescent="0.2">
      <c r="F279" s="297"/>
      <c r="G279" s="481"/>
      <c r="H279" s="481"/>
      <c r="I279" s="470"/>
      <c r="J279" s="471"/>
      <c r="K279" s="472"/>
      <c r="L279" s="470"/>
      <c r="M279" s="471"/>
      <c r="N279" s="471"/>
      <c r="O279" s="470"/>
      <c r="P279" s="471"/>
      <c r="Q279" s="472"/>
      <c r="R279" s="297">
        <v>54</v>
      </c>
      <c r="S279" s="481">
        <v>19</v>
      </c>
      <c r="T279" s="485">
        <v>-76</v>
      </c>
      <c r="U279" s="470"/>
      <c r="V279" s="471"/>
      <c r="W279" s="472"/>
      <c r="X279" s="470"/>
      <c r="Y279" s="471"/>
      <c r="Z279" s="471"/>
      <c r="AA279" s="470"/>
      <c r="AB279" s="471"/>
      <c r="AC279" s="472"/>
      <c r="AD279" s="39"/>
      <c r="AE279" s="481"/>
      <c r="AF279" s="481"/>
      <c r="AG279" s="21"/>
      <c r="AH279" s="481"/>
      <c r="AI279" s="482"/>
      <c r="AJ279" s="470"/>
      <c r="AK279" s="471"/>
      <c r="AL279" s="471"/>
      <c r="AM279" s="470"/>
      <c r="AN279" s="471"/>
      <c r="AO279" s="472"/>
      <c r="AP279" s="39">
        <v>72.2</v>
      </c>
      <c r="AQ279" s="481">
        <v>18</v>
      </c>
      <c r="AR279" s="482">
        <v>-71</v>
      </c>
      <c r="AS279" s="21">
        <v>150</v>
      </c>
      <c r="AT279" s="481">
        <v>18</v>
      </c>
      <c r="AU279" s="482">
        <v>-68</v>
      </c>
      <c r="AV279" s="470"/>
      <c r="AW279" s="471"/>
      <c r="AX279" s="471"/>
      <c r="AY279" s="470"/>
      <c r="AZ279" s="471"/>
      <c r="BA279" s="472"/>
      <c r="BB279" s="470"/>
      <c r="BC279" s="471"/>
      <c r="BD279" s="471"/>
      <c r="BE279" s="470"/>
      <c r="BF279" s="471"/>
      <c r="BG279" s="472"/>
      <c r="BH279" s="470"/>
      <c r="BI279" s="471"/>
      <c r="BJ279" s="471"/>
      <c r="BK279" s="470"/>
      <c r="BL279" s="471"/>
      <c r="BM279" s="472"/>
      <c r="BN279" s="470"/>
      <c r="BO279" s="471"/>
      <c r="BP279" s="471"/>
      <c r="BQ279" s="470"/>
      <c r="BR279" s="471"/>
      <c r="BS279" s="472"/>
      <c r="BT279" s="470"/>
      <c r="BU279" s="471"/>
      <c r="BV279" s="471"/>
      <c r="BW279" s="470"/>
      <c r="BX279" s="471"/>
      <c r="BY279" s="472"/>
      <c r="BZ279" s="39">
        <v>72.2</v>
      </c>
      <c r="CA279" s="481">
        <v>18</v>
      </c>
      <c r="CB279" s="482">
        <v>-71</v>
      </c>
      <c r="CC279" s="39">
        <v>150</v>
      </c>
      <c r="CD279" s="481">
        <v>18</v>
      </c>
      <c r="CE279" s="482">
        <v>-68</v>
      </c>
      <c r="CF279" s="297">
        <v>325</v>
      </c>
      <c r="CG279" s="24">
        <v>18</v>
      </c>
      <c r="CH279" s="308">
        <v>-64</v>
      </c>
      <c r="CI279" s="297">
        <v>650</v>
      </c>
      <c r="CJ279" s="671">
        <v>12</v>
      </c>
      <c r="CK279" s="644">
        <v>-62</v>
      </c>
    </row>
    <row r="280" spans="5:89" x14ac:dyDescent="0.2">
      <c r="F280" s="297"/>
      <c r="G280" s="481"/>
      <c r="H280" s="481"/>
      <c r="I280" s="470"/>
      <c r="J280" s="471"/>
      <c r="K280" s="472"/>
      <c r="L280" s="470"/>
      <c r="M280" s="471"/>
      <c r="N280" s="471"/>
      <c r="O280" s="470"/>
      <c r="P280" s="471"/>
      <c r="Q280" s="472"/>
      <c r="R280" s="52"/>
      <c r="S280" s="2"/>
      <c r="T280" s="2"/>
      <c r="U280" s="470"/>
      <c r="V280" s="471"/>
      <c r="W280" s="472"/>
      <c r="X280" s="470"/>
      <c r="Y280" s="471"/>
      <c r="Z280" s="471"/>
      <c r="AA280" s="470"/>
      <c r="AB280" s="471"/>
      <c r="AC280" s="472"/>
      <c r="AD280" s="39"/>
      <c r="AE280" s="24"/>
      <c r="AF280" s="24"/>
      <c r="AG280" s="39"/>
      <c r="AH280" s="24"/>
      <c r="AI280" s="95"/>
      <c r="AJ280" s="470"/>
      <c r="AK280" s="471"/>
      <c r="AL280" s="471"/>
      <c r="AM280" s="470"/>
      <c r="AN280" s="471"/>
      <c r="AO280" s="472"/>
      <c r="AP280" s="39">
        <v>86.7</v>
      </c>
      <c r="AQ280" s="2">
        <v>17</v>
      </c>
      <c r="AR280" s="10">
        <v>-67</v>
      </c>
      <c r="AS280" s="2">
        <v>180</v>
      </c>
      <c r="AT280" s="2">
        <v>17</v>
      </c>
      <c r="AU280" s="53">
        <v>-64</v>
      </c>
      <c r="AV280" s="470"/>
      <c r="AW280" s="471"/>
      <c r="AX280" s="471"/>
      <c r="AY280" s="470"/>
      <c r="AZ280" s="471"/>
      <c r="BA280" s="472"/>
      <c r="BB280" s="470"/>
      <c r="BC280" s="471"/>
      <c r="BD280" s="471"/>
      <c r="BE280" s="470"/>
      <c r="BF280" s="471"/>
      <c r="BG280" s="472"/>
      <c r="BH280" s="470"/>
      <c r="BI280" s="471"/>
      <c r="BJ280" s="471"/>
      <c r="BK280" s="470"/>
      <c r="BL280" s="471"/>
      <c r="BM280" s="472"/>
      <c r="BN280" s="470"/>
      <c r="BO280" s="471"/>
      <c r="BP280" s="471"/>
      <c r="BQ280" s="470"/>
      <c r="BR280" s="471"/>
      <c r="BS280" s="472"/>
      <c r="BT280" s="470"/>
      <c r="BU280" s="471"/>
      <c r="BV280" s="471"/>
      <c r="BW280" s="470"/>
      <c r="BX280" s="471"/>
      <c r="BY280" s="472"/>
      <c r="BZ280" s="39">
        <v>86.7</v>
      </c>
      <c r="CA280" s="2">
        <v>17</v>
      </c>
      <c r="CB280" s="10">
        <v>-67</v>
      </c>
      <c r="CC280" s="39">
        <v>180</v>
      </c>
      <c r="CD280" s="2">
        <v>17</v>
      </c>
      <c r="CE280" s="53">
        <v>-64</v>
      </c>
      <c r="CF280" s="297">
        <v>390</v>
      </c>
      <c r="CG280" s="24">
        <v>17</v>
      </c>
      <c r="CH280" s="308">
        <v>-60</v>
      </c>
      <c r="CI280" s="297">
        <v>780</v>
      </c>
      <c r="CJ280" s="671">
        <v>12</v>
      </c>
      <c r="CK280" s="644">
        <v>-60</v>
      </c>
    </row>
    <row r="281" spans="5:89" x14ac:dyDescent="0.2">
      <c r="F281" s="297"/>
      <c r="G281" s="481"/>
      <c r="H281" s="481"/>
      <c r="I281" s="470"/>
      <c r="J281" s="471"/>
      <c r="K281" s="472"/>
      <c r="L281" s="470"/>
      <c r="M281" s="471"/>
      <c r="N281" s="471"/>
      <c r="O281" s="470"/>
      <c r="P281" s="471"/>
      <c r="Q281" s="472"/>
      <c r="R281" s="52"/>
      <c r="S281" s="31"/>
      <c r="T281" s="31"/>
      <c r="U281" s="470"/>
      <c r="V281" s="471"/>
      <c r="W281" s="472"/>
      <c r="X281" s="470"/>
      <c r="Y281" s="471"/>
      <c r="Z281" s="471"/>
      <c r="AA281" s="470"/>
      <c r="AB281" s="471"/>
      <c r="AC281" s="472"/>
      <c r="AD281" s="39"/>
      <c r="AE281" s="24"/>
      <c r="AF281" s="24"/>
      <c r="AG281" s="39"/>
      <c r="AH281" s="24"/>
      <c r="AI281" s="95"/>
      <c r="AJ281" s="470"/>
      <c r="AK281" s="471"/>
      <c r="AL281" s="471"/>
      <c r="AM281" s="470"/>
      <c r="AN281" s="471"/>
      <c r="AO281" s="472"/>
      <c r="AP281" s="52"/>
      <c r="AQ281" s="2"/>
      <c r="AR281" s="10"/>
      <c r="AS281" s="2">
        <v>200</v>
      </c>
      <c r="AT281" s="2">
        <v>16</v>
      </c>
      <c r="AU281" s="53">
        <v>-62</v>
      </c>
      <c r="AV281" s="470"/>
      <c r="AW281" s="471"/>
      <c r="AX281" s="471"/>
      <c r="AY281" s="470"/>
      <c r="AZ281" s="471"/>
      <c r="BA281" s="472"/>
      <c r="BB281" s="470"/>
      <c r="BC281" s="471"/>
      <c r="BD281" s="471"/>
      <c r="BE281" s="470"/>
      <c r="BF281" s="471"/>
      <c r="BG281" s="472"/>
      <c r="BH281" s="470"/>
      <c r="BI281" s="471"/>
      <c r="BJ281" s="471"/>
      <c r="BK281" s="470"/>
      <c r="BL281" s="471"/>
      <c r="BM281" s="472"/>
      <c r="BN281" s="470"/>
      <c r="BO281" s="471"/>
      <c r="BP281" s="471"/>
      <c r="BQ281" s="470"/>
      <c r="BR281" s="471"/>
      <c r="BS281" s="472"/>
      <c r="BT281" s="470"/>
      <c r="BU281" s="471"/>
      <c r="BV281" s="471"/>
      <c r="BW281" s="470"/>
      <c r="BX281" s="471"/>
      <c r="BY281" s="472"/>
      <c r="BZ281" s="39"/>
      <c r="CA281" s="24"/>
      <c r="CB281" s="24"/>
      <c r="CC281" s="39">
        <v>200</v>
      </c>
      <c r="CD281" s="2">
        <v>16</v>
      </c>
      <c r="CE281" s="53">
        <v>-62</v>
      </c>
      <c r="CF281" s="297">
        <v>433.3</v>
      </c>
      <c r="CG281" s="24">
        <v>16</v>
      </c>
      <c r="CH281" s="308">
        <v>-58</v>
      </c>
      <c r="CI281" s="297">
        <v>866.7</v>
      </c>
      <c r="CJ281" s="671">
        <v>11</v>
      </c>
      <c r="CK281" s="644">
        <v>-58</v>
      </c>
    </row>
    <row r="282" spans="5:89" ht="10.5" thickBot="1" x14ac:dyDescent="0.25">
      <c r="F282" s="298"/>
      <c r="G282" s="486"/>
      <c r="H282" s="486"/>
      <c r="I282" s="473"/>
      <c r="J282" s="474"/>
      <c r="K282" s="475"/>
      <c r="L282" s="473"/>
      <c r="M282" s="474"/>
      <c r="N282" s="474"/>
      <c r="O282" s="473"/>
      <c r="P282" s="474"/>
      <c r="Q282" s="475"/>
      <c r="R282" s="54"/>
      <c r="S282" s="303"/>
      <c r="T282" s="303"/>
      <c r="U282" s="473"/>
      <c r="V282" s="474"/>
      <c r="W282" s="475"/>
      <c r="X282" s="473"/>
      <c r="Y282" s="474"/>
      <c r="Z282" s="474"/>
      <c r="AA282" s="473"/>
      <c r="AB282" s="474"/>
      <c r="AC282" s="475"/>
      <c r="AD282" s="304"/>
      <c r="AE282" s="399"/>
      <c r="AF282" s="399"/>
      <c r="AG282" s="304"/>
      <c r="AH282" s="399"/>
      <c r="AI282" s="477"/>
      <c r="AJ282" s="473"/>
      <c r="AK282" s="474"/>
      <c r="AL282" s="474"/>
      <c r="AM282" s="473"/>
      <c r="AN282" s="474"/>
      <c r="AO282" s="475"/>
      <c r="AP282" s="54"/>
      <c r="AQ282" s="55"/>
      <c r="AR282" s="309"/>
      <c r="AS282" s="55"/>
      <c r="AT282" s="55"/>
      <c r="AU282" s="56"/>
      <c r="AV282" s="473"/>
      <c r="AW282" s="474"/>
      <c r="AX282" s="474"/>
      <c r="AY282" s="473"/>
      <c r="AZ282" s="474"/>
      <c r="BA282" s="475"/>
      <c r="BB282" s="473"/>
      <c r="BC282" s="474"/>
      <c r="BD282" s="474"/>
      <c r="BE282" s="473"/>
      <c r="BF282" s="474"/>
      <c r="BG282" s="475"/>
      <c r="BH282" s="473"/>
      <c r="BI282" s="474"/>
      <c r="BJ282" s="474"/>
      <c r="BK282" s="473"/>
      <c r="BL282" s="474"/>
      <c r="BM282" s="475"/>
      <c r="BN282" s="473"/>
      <c r="BO282" s="474"/>
      <c r="BP282" s="474"/>
      <c r="BQ282" s="473"/>
      <c r="BR282" s="474"/>
      <c r="BS282" s="475"/>
      <c r="BT282" s="473"/>
      <c r="BU282" s="474"/>
      <c r="BV282" s="474"/>
      <c r="BW282" s="473"/>
      <c r="BX282" s="474"/>
      <c r="BY282" s="475"/>
      <c r="BZ282" s="304"/>
      <c r="CA282" s="399"/>
      <c r="CB282" s="399"/>
      <c r="CC282" s="304"/>
      <c r="CD282" s="399"/>
      <c r="CE282" s="399"/>
      <c r="CF282" s="298"/>
      <c r="CG282" s="399"/>
      <c r="CH282" s="478"/>
      <c r="CI282" s="298"/>
      <c r="CJ282" s="399"/>
      <c r="CK282" s="478"/>
    </row>
    <row r="284" spans="5:89" ht="10.5" x14ac:dyDescent="0.25">
      <c r="F284" s="26" t="s">
        <v>0</v>
      </c>
      <c r="G284" s="26"/>
      <c r="H284" s="449"/>
      <c r="I284" s="26"/>
      <c r="J284" s="26"/>
      <c r="K284" s="26"/>
      <c r="L284" s="26"/>
      <c r="M284" s="26"/>
      <c r="N284" s="26"/>
      <c r="O284" s="26"/>
      <c r="P284" s="26"/>
      <c r="Q284" s="26"/>
      <c r="R284" s="449" t="s">
        <v>1</v>
      </c>
      <c r="S284" s="25"/>
      <c r="T284" s="452"/>
      <c r="U284" s="25"/>
      <c r="AD284" s="450" t="s">
        <v>410</v>
      </c>
      <c r="AE284" s="450"/>
      <c r="AF284" s="451"/>
      <c r="AG284" s="450"/>
      <c r="AP284" s="450" t="s">
        <v>411</v>
      </c>
      <c r="AQ284" s="450"/>
      <c r="AR284" s="451"/>
      <c r="AS284" s="450"/>
      <c r="BB284" s="44" t="s">
        <v>223</v>
      </c>
      <c r="BD284" s="155"/>
      <c r="BN284" s="44" t="s">
        <v>351</v>
      </c>
      <c r="BZ284" s="44" t="s">
        <v>515</v>
      </c>
      <c r="CF284" s="2"/>
      <c r="CG284" s="2"/>
      <c r="CH284" s="2"/>
      <c r="CI284" s="2"/>
      <c r="CJ284" s="2"/>
      <c r="CK284" s="2"/>
    </row>
    <row r="285" spans="5:89" ht="11" thickBot="1" x14ac:dyDescent="0.3">
      <c r="F285" s="26" t="s">
        <v>113</v>
      </c>
      <c r="G285" s="26" t="s">
        <v>108</v>
      </c>
      <c r="H285" s="26" t="s">
        <v>109</v>
      </c>
      <c r="I285" s="26" t="s">
        <v>110</v>
      </c>
      <c r="J285" s="26" t="s">
        <v>111</v>
      </c>
      <c r="K285" s="26" t="s">
        <v>112</v>
      </c>
      <c r="L285" s="26"/>
      <c r="M285" s="26"/>
      <c r="N285" s="26"/>
      <c r="O285" s="26"/>
      <c r="P285" s="26"/>
      <c r="Q285" s="26"/>
      <c r="R285" s="26" t="s">
        <v>113</v>
      </c>
      <c r="S285" s="159" t="s">
        <v>108</v>
      </c>
      <c r="T285" s="159" t="s">
        <v>109</v>
      </c>
      <c r="U285" s="26" t="s">
        <v>110</v>
      </c>
      <c r="V285" s="26" t="s">
        <v>111</v>
      </c>
      <c r="W285" s="26" t="s">
        <v>112</v>
      </c>
      <c r="X285" s="26"/>
      <c r="Y285" s="26"/>
      <c r="Z285" s="26"/>
      <c r="AA285" s="26"/>
      <c r="AB285" s="26"/>
      <c r="AC285" s="26"/>
      <c r="AD285" s="159" t="s">
        <v>88</v>
      </c>
      <c r="AE285" s="159" t="s">
        <v>83</v>
      </c>
      <c r="AF285" s="159" t="s">
        <v>84</v>
      </c>
      <c r="AG285" s="159" t="s">
        <v>87</v>
      </c>
      <c r="AH285" s="159" t="s">
        <v>85</v>
      </c>
      <c r="AI285" s="159" t="s">
        <v>86</v>
      </c>
      <c r="AJ285" s="26"/>
      <c r="AK285" s="26"/>
      <c r="AL285" s="26"/>
      <c r="AM285" s="26"/>
      <c r="AN285" s="26"/>
      <c r="AO285" s="26"/>
      <c r="AP285" s="159" t="s">
        <v>88</v>
      </c>
      <c r="AQ285" s="159" t="s">
        <v>83</v>
      </c>
      <c r="AR285" s="159" t="s">
        <v>84</v>
      </c>
      <c r="AS285" s="159" t="s">
        <v>87</v>
      </c>
      <c r="AT285" s="159" t="s">
        <v>85</v>
      </c>
      <c r="AU285" s="159" t="s">
        <v>86</v>
      </c>
      <c r="AV285" s="26"/>
      <c r="AW285" s="26"/>
      <c r="AX285" s="26"/>
      <c r="AY285" s="26"/>
      <c r="AZ285" s="26"/>
      <c r="BA285" s="26"/>
      <c r="BB285" s="102" t="s">
        <v>88</v>
      </c>
      <c r="BC285" s="102" t="s">
        <v>83</v>
      </c>
      <c r="BD285" s="102" t="s">
        <v>84</v>
      </c>
      <c r="BE285" s="102" t="s">
        <v>87</v>
      </c>
      <c r="BF285" s="102" t="s">
        <v>85</v>
      </c>
      <c r="BG285" s="102" t="s">
        <v>86</v>
      </c>
      <c r="BH285" s="26"/>
      <c r="BI285" s="26"/>
      <c r="BJ285" s="26"/>
      <c r="BK285" s="26"/>
      <c r="BL285" s="26"/>
      <c r="BM285" s="26"/>
      <c r="BN285" s="102" t="s">
        <v>88</v>
      </c>
      <c r="BO285" s="102" t="s">
        <v>83</v>
      </c>
      <c r="BP285" s="102" t="s">
        <v>84</v>
      </c>
      <c r="BQ285" s="102" t="s">
        <v>87</v>
      </c>
      <c r="BR285" s="102" t="s">
        <v>85</v>
      </c>
      <c r="BS285" s="102" t="s">
        <v>86</v>
      </c>
      <c r="BT285" s="26"/>
      <c r="BU285" s="26"/>
      <c r="BV285" s="26"/>
      <c r="BW285" s="26"/>
      <c r="BX285" s="26"/>
      <c r="BY285" s="26"/>
      <c r="BZ285" s="102" t="s">
        <v>88</v>
      </c>
      <c r="CA285" s="102" t="s">
        <v>83</v>
      </c>
      <c r="CB285" s="102" t="s">
        <v>84</v>
      </c>
      <c r="CC285" s="102" t="s">
        <v>87</v>
      </c>
      <c r="CD285" s="102" t="s">
        <v>85</v>
      </c>
      <c r="CE285" s="102" t="s">
        <v>86</v>
      </c>
      <c r="CF285" s="159" t="s">
        <v>512</v>
      </c>
      <c r="CG285" s="159" t="s">
        <v>514</v>
      </c>
      <c r="CH285" s="159" t="s">
        <v>513</v>
      </c>
      <c r="CI285" s="102" t="s">
        <v>516</v>
      </c>
      <c r="CJ285" s="102" t="s">
        <v>517</v>
      </c>
      <c r="CK285" s="102" t="s">
        <v>518</v>
      </c>
    </row>
    <row r="286" spans="5:89" x14ac:dyDescent="0.2">
      <c r="F286" s="293"/>
      <c r="G286" s="479"/>
      <c r="H286" s="479"/>
      <c r="I286" s="467"/>
      <c r="J286" s="468"/>
      <c r="K286" s="469"/>
      <c r="L286" s="467"/>
      <c r="M286" s="468"/>
      <c r="N286" s="468"/>
      <c r="O286" s="467"/>
      <c r="P286" s="468"/>
      <c r="Q286" s="469"/>
      <c r="R286" s="293">
        <v>6</v>
      </c>
      <c r="S286" s="479">
        <v>21</v>
      </c>
      <c r="T286" s="484">
        <v>-94</v>
      </c>
      <c r="U286" s="467"/>
      <c r="V286" s="468"/>
      <c r="W286" s="469"/>
      <c r="X286" s="467"/>
      <c r="Y286" s="468"/>
      <c r="Z286" s="468"/>
      <c r="AA286" s="467"/>
      <c r="AB286" s="468"/>
      <c r="AC286" s="469"/>
      <c r="AD286" s="414"/>
      <c r="AE286" s="479"/>
      <c r="AF286" s="479"/>
      <c r="AG286" s="483"/>
      <c r="AH286" s="479"/>
      <c r="AI286" s="480"/>
      <c r="AJ286" s="467"/>
      <c r="AK286" s="468"/>
      <c r="AL286" s="468"/>
      <c r="AM286" s="467"/>
      <c r="AN286" s="468"/>
      <c r="AO286" s="469"/>
      <c r="AP286" s="414">
        <v>7.2</v>
      </c>
      <c r="AQ286" s="479">
        <v>21</v>
      </c>
      <c r="AR286" s="480">
        <v>-92</v>
      </c>
      <c r="AS286" s="306">
        <v>15</v>
      </c>
      <c r="AT286" s="479">
        <v>21</v>
      </c>
      <c r="AU286" s="480">
        <v>-87</v>
      </c>
      <c r="AV286" s="467"/>
      <c r="AW286" s="468"/>
      <c r="AX286" s="468"/>
      <c r="AY286" s="467"/>
      <c r="AZ286" s="468"/>
      <c r="BA286" s="469"/>
      <c r="BB286" s="467"/>
      <c r="BC286" s="468"/>
      <c r="BD286" s="468"/>
      <c r="BE286" s="467"/>
      <c r="BF286" s="468"/>
      <c r="BG286" s="469"/>
      <c r="BH286" s="467"/>
      <c r="BI286" s="468"/>
      <c r="BJ286" s="468"/>
      <c r="BK286" s="467"/>
      <c r="BL286" s="468"/>
      <c r="BM286" s="469"/>
      <c r="BN286" s="467"/>
      <c r="BO286" s="468"/>
      <c r="BP286" s="468"/>
      <c r="BQ286" s="467"/>
      <c r="BR286" s="468"/>
      <c r="BS286" s="469"/>
      <c r="BT286" s="467"/>
      <c r="BU286" s="468"/>
      <c r="BV286" s="468"/>
      <c r="BW286" s="467"/>
      <c r="BX286" s="468"/>
      <c r="BY286" s="469"/>
      <c r="BZ286" s="414"/>
      <c r="CA286" s="479"/>
      <c r="CB286" s="480"/>
      <c r="CC286" s="414"/>
      <c r="CD286" s="479"/>
      <c r="CE286" s="480"/>
      <c r="CF286" s="293"/>
      <c r="CG286" s="306"/>
      <c r="CH286" s="307"/>
      <c r="CI286" s="293"/>
      <c r="CJ286" s="306"/>
      <c r="CK286" s="307"/>
    </row>
    <row r="287" spans="5:89" x14ac:dyDescent="0.2">
      <c r="E287" s="458" t="s">
        <v>611</v>
      </c>
      <c r="F287" s="296"/>
      <c r="G287" s="481"/>
      <c r="H287" s="481"/>
      <c r="I287" s="470"/>
      <c r="J287" s="471"/>
      <c r="K287" s="472"/>
      <c r="L287" s="470"/>
      <c r="M287" s="471"/>
      <c r="N287" s="471"/>
      <c r="O287" s="470"/>
      <c r="P287" s="471"/>
      <c r="Q287" s="472"/>
      <c r="R287" s="297">
        <v>9</v>
      </c>
      <c r="S287" s="481">
        <v>21</v>
      </c>
      <c r="T287" s="485">
        <v>-93</v>
      </c>
      <c r="U287" s="470"/>
      <c r="V287" s="471"/>
      <c r="W287" s="472"/>
      <c r="X287" s="470"/>
      <c r="Y287" s="471"/>
      <c r="Z287" s="471"/>
      <c r="AA287" s="470"/>
      <c r="AB287" s="471"/>
      <c r="AC287" s="472"/>
      <c r="AD287" s="39"/>
      <c r="AE287" s="481"/>
      <c r="AF287" s="481"/>
      <c r="AG287" s="21"/>
      <c r="AH287" s="481"/>
      <c r="AI287" s="482"/>
      <c r="AJ287" s="470"/>
      <c r="AK287" s="471"/>
      <c r="AL287" s="471"/>
      <c r="AM287" s="470"/>
      <c r="AN287" s="471"/>
      <c r="AO287" s="472"/>
      <c r="AP287" s="39">
        <v>14.4</v>
      </c>
      <c r="AQ287" s="481">
        <v>21</v>
      </c>
      <c r="AR287" s="482">
        <v>-88</v>
      </c>
      <c r="AS287" s="24">
        <v>30</v>
      </c>
      <c r="AT287" s="481">
        <v>21</v>
      </c>
      <c r="AU287" s="482">
        <v>-84</v>
      </c>
      <c r="AV287" s="470"/>
      <c r="AW287" s="471"/>
      <c r="AX287" s="471"/>
      <c r="AY287" s="470"/>
      <c r="AZ287" s="471"/>
      <c r="BA287" s="472"/>
      <c r="BB287" s="470"/>
      <c r="BC287" s="471"/>
      <c r="BD287" s="471"/>
      <c r="BE287" s="470"/>
      <c r="BF287" s="471"/>
      <c r="BG287" s="472"/>
      <c r="BH287" s="470"/>
      <c r="BI287" s="471"/>
      <c r="BJ287" s="471"/>
      <c r="BK287" s="470"/>
      <c r="BL287" s="471"/>
      <c r="BM287" s="472"/>
      <c r="BN287" s="470"/>
      <c r="BO287" s="471"/>
      <c r="BP287" s="471"/>
      <c r="BQ287" s="470"/>
      <c r="BR287" s="471"/>
      <c r="BS287" s="472"/>
      <c r="BT287" s="470"/>
      <c r="BU287" s="471"/>
      <c r="BV287" s="471"/>
      <c r="BW287" s="470"/>
      <c r="BX287" s="471"/>
      <c r="BY287" s="472"/>
      <c r="BZ287" s="39"/>
      <c r="CA287" s="481"/>
      <c r="CB287" s="482"/>
      <c r="CC287" s="39"/>
      <c r="CD287" s="481"/>
      <c r="CE287" s="482"/>
      <c r="CF287" s="297"/>
      <c r="CG287" s="24"/>
      <c r="CH287" s="308"/>
      <c r="CI287" s="297"/>
      <c r="CJ287" s="24"/>
      <c r="CK287" s="308"/>
    </row>
    <row r="288" spans="5:89" x14ac:dyDescent="0.2">
      <c r="F288" s="297"/>
      <c r="G288" s="481"/>
      <c r="H288" s="481"/>
      <c r="I288" s="470"/>
      <c r="J288" s="471"/>
      <c r="K288" s="472"/>
      <c r="L288" s="470"/>
      <c r="M288" s="471"/>
      <c r="N288" s="471"/>
      <c r="O288" s="470"/>
      <c r="P288" s="471"/>
      <c r="Q288" s="472"/>
      <c r="R288" s="297">
        <v>12</v>
      </c>
      <c r="S288" s="481">
        <v>21</v>
      </c>
      <c r="T288" s="485">
        <v>-92</v>
      </c>
      <c r="U288" s="470"/>
      <c r="V288" s="471"/>
      <c r="W288" s="472"/>
      <c r="X288" s="470"/>
      <c r="Y288" s="471"/>
      <c r="Z288" s="471"/>
      <c r="AA288" s="470"/>
      <c r="AB288" s="471"/>
      <c r="AC288" s="472"/>
      <c r="AD288" s="39"/>
      <c r="AE288" s="481"/>
      <c r="AF288" s="481"/>
      <c r="AG288" s="21"/>
      <c r="AH288" s="481"/>
      <c r="AI288" s="482"/>
      <c r="AJ288" s="470"/>
      <c r="AK288" s="471"/>
      <c r="AL288" s="471"/>
      <c r="AM288" s="470"/>
      <c r="AN288" s="471"/>
      <c r="AO288" s="472"/>
      <c r="AP288" s="39">
        <v>21.7</v>
      </c>
      <c r="AQ288" s="481">
        <v>21</v>
      </c>
      <c r="AR288" s="482">
        <v>-85</v>
      </c>
      <c r="AS288" s="24">
        <v>45</v>
      </c>
      <c r="AT288" s="481">
        <v>21</v>
      </c>
      <c r="AU288" s="482">
        <v>-81</v>
      </c>
      <c r="AV288" s="470"/>
      <c r="AW288" s="471"/>
      <c r="AX288" s="471"/>
      <c r="AY288" s="470"/>
      <c r="AZ288" s="471"/>
      <c r="BA288" s="472"/>
      <c r="BB288" s="470"/>
      <c r="BC288" s="471"/>
      <c r="BD288" s="471"/>
      <c r="BE288" s="470"/>
      <c r="BF288" s="471"/>
      <c r="BG288" s="472"/>
      <c r="BH288" s="470"/>
      <c r="BI288" s="471"/>
      <c r="BJ288" s="471"/>
      <c r="BK288" s="470"/>
      <c r="BL288" s="471"/>
      <c r="BM288" s="472"/>
      <c r="BN288" s="470"/>
      <c r="BO288" s="471"/>
      <c r="BP288" s="471"/>
      <c r="BQ288" s="470"/>
      <c r="BR288" s="471"/>
      <c r="BS288" s="472"/>
      <c r="BT288" s="470"/>
      <c r="BU288" s="471"/>
      <c r="BV288" s="471"/>
      <c r="BW288" s="470"/>
      <c r="BX288" s="471"/>
      <c r="BY288" s="472"/>
      <c r="BZ288" s="39"/>
      <c r="CA288" s="481"/>
      <c r="CB288" s="482"/>
      <c r="CC288" s="39"/>
      <c r="CD288" s="481"/>
      <c r="CE288" s="482"/>
      <c r="CF288" s="297"/>
      <c r="CG288" s="24"/>
      <c r="CH288" s="308"/>
      <c r="CI288" s="297"/>
      <c r="CJ288" s="24"/>
      <c r="CK288" s="308"/>
    </row>
    <row r="289" spans="5:89" x14ac:dyDescent="0.2">
      <c r="F289" s="297"/>
      <c r="G289" s="481"/>
      <c r="H289" s="481"/>
      <c r="I289" s="470"/>
      <c r="J289" s="471"/>
      <c r="K289" s="472"/>
      <c r="L289" s="470"/>
      <c r="M289" s="471"/>
      <c r="N289" s="471"/>
      <c r="O289" s="470"/>
      <c r="P289" s="471"/>
      <c r="Q289" s="472"/>
      <c r="R289" s="297">
        <v>18</v>
      </c>
      <c r="S289" s="481">
        <v>21</v>
      </c>
      <c r="T289" s="485">
        <v>-90</v>
      </c>
      <c r="U289" s="470"/>
      <c r="V289" s="471"/>
      <c r="W289" s="472"/>
      <c r="X289" s="470"/>
      <c r="Y289" s="471"/>
      <c r="Z289" s="471"/>
      <c r="AA289" s="470"/>
      <c r="AB289" s="471"/>
      <c r="AC289" s="472"/>
      <c r="AD289" s="39"/>
      <c r="AE289" s="481"/>
      <c r="AF289" s="481"/>
      <c r="AG289" s="21"/>
      <c r="AH289" s="481"/>
      <c r="AI289" s="482"/>
      <c r="AJ289" s="470"/>
      <c r="AK289" s="471"/>
      <c r="AL289" s="471"/>
      <c r="AM289" s="470"/>
      <c r="AN289" s="471"/>
      <c r="AO289" s="472"/>
      <c r="AP289" s="39">
        <v>28.9</v>
      </c>
      <c r="AQ289" s="481">
        <v>21</v>
      </c>
      <c r="AR289" s="482">
        <v>-83</v>
      </c>
      <c r="AS289" s="24">
        <v>60</v>
      </c>
      <c r="AT289" s="481">
        <v>21</v>
      </c>
      <c r="AU289" s="482">
        <v>-79</v>
      </c>
      <c r="AV289" s="470"/>
      <c r="AW289" s="471"/>
      <c r="AX289" s="471"/>
      <c r="AY289" s="470"/>
      <c r="AZ289" s="471"/>
      <c r="BA289" s="472"/>
      <c r="BB289" s="470"/>
      <c r="BC289" s="471"/>
      <c r="BD289" s="471"/>
      <c r="BE289" s="470"/>
      <c r="BF289" s="471"/>
      <c r="BG289" s="472"/>
      <c r="BH289" s="470"/>
      <c r="BI289" s="471"/>
      <c r="BJ289" s="471"/>
      <c r="BK289" s="470"/>
      <c r="BL289" s="471"/>
      <c r="BM289" s="472"/>
      <c r="BN289" s="470"/>
      <c r="BO289" s="471"/>
      <c r="BP289" s="471"/>
      <c r="BQ289" s="470"/>
      <c r="BR289" s="471"/>
      <c r="BS289" s="472"/>
      <c r="BT289" s="470"/>
      <c r="BU289" s="471"/>
      <c r="BV289" s="471"/>
      <c r="BW289" s="470"/>
      <c r="BX289" s="471"/>
      <c r="BY289" s="472"/>
      <c r="BZ289" s="39"/>
      <c r="CA289" s="481"/>
      <c r="CB289" s="482"/>
      <c r="CC289" s="39"/>
      <c r="CD289" s="481"/>
      <c r="CE289" s="482"/>
      <c r="CF289" s="297"/>
      <c r="CG289" s="24"/>
      <c r="CH289" s="308"/>
      <c r="CI289" s="297"/>
      <c r="CJ289" s="24"/>
      <c r="CK289" s="308"/>
    </row>
    <row r="290" spans="5:89" x14ac:dyDescent="0.2">
      <c r="F290" s="297"/>
      <c r="G290" s="481"/>
      <c r="H290" s="481"/>
      <c r="I290" s="470"/>
      <c r="J290" s="471"/>
      <c r="K290" s="472"/>
      <c r="L290" s="470"/>
      <c r="M290" s="471"/>
      <c r="N290" s="471"/>
      <c r="O290" s="470"/>
      <c r="P290" s="471"/>
      <c r="Q290" s="472"/>
      <c r="R290" s="297">
        <v>24</v>
      </c>
      <c r="S290" s="481">
        <v>21</v>
      </c>
      <c r="T290" s="485">
        <v>-87</v>
      </c>
      <c r="U290" s="470"/>
      <c r="V290" s="471"/>
      <c r="W290" s="472"/>
      <c r="X290" s="470"/>
      <c r="Y290" s="471"/>
      <c r="Z290" s="471"/>
      <c r="AA290" s="470"/>
      <c r="AB290" s="471"/>
      <c r="AC290" s="472"/>
      <c r="AD290" s="39"/>
      <c r="AE290" s="481"/>
      <c r="AF290" s="481"/>
      <c r="AG290" s="21"/>
      <c r="AH290" s="481"/>
      <c r="AI290" s="482"/>
      <c r="AJ290" s="470"/>
      <c r="AK290" s="471"/>
      <c r="AL290" s="471"/>
      <c r="AM290" s="470"/>
      <c r="AN290" s="471"/>
      <c r="AO290" s="472"/>
      <c r="AP290" s="39">
        <v>43.3</v>
      </c>
      <c r="AQ290" s="481">
        <v>20</v>
      </c>
      <c r="AR290" s="482">
        <v>-79</v>
      </c>
      <c r="AS290" s="24">
        <v>90</v>
      </c>
      <c r="AT290" s="481">
        <v>20</v>
      </c>
      <c r="AU290" s="482">
        <v>-75</v>
      </c>
      <c r="AV290" s="470"/>
      <c r="AW290" s="471"/>
      <c r="AX290" s="471"/>
      <c r="AY290" s="470"/>
      <c r="AZ290" s="471"/>
      <c r="BA290" s="472"/>
      <c r="BB290" s="470"/>
      <c r="BC290" s="471"/>
      <c r="BD290" s="471"/>
      <c r="BE290" s="470"/>
      <c r="BF290" s="471"/>
      <c r="BG290" s="472"/>
      <c r="BH290" s="470"/>
      <c r="BI290" s="471"/>
      <c r="BJ290" s="471"/>
      <c r="BK290" s="470"/>
      <c r="BL290" s="471"/>
      <c r="BM290" s="472"/>
      <c r="BN290" s="470"/>
      <c r="BO290" s="471"/>
      <c r="BP290" s="471"/>
      <c r="BQ290" s="470"/>
      <c r="BR290" s="471"/>
      <c r="BS290" s="472"/>
      <c r="BT290" s="470"/>
      <c r="BU290" s="471"/>
      <c r="BV290" s="471"/>
      <c r="BW290" s="470"/>
      <c r="BX290" s="471"/>
      <c r="BY290" s="472"/>
      <c r="BZ290" s="39"/>
      <c r="CA290" s="481"/>
      <c r="CB290" s="482"/>
      <c r="CC290" s="39"/>
      <c r="CD290" s="481"/>
      <c r="CE290" s="482"/>
      <c r="CF290" s="297"/>
      <c r="CG290" s="24"/>
      <c r="CH290" s="308"/>
      <c r="CI290" s="297"/>
      <c r="CJ290" s="24"/>
      <c r="CK290" s="308"/>
    </row>
    <row r="291" spans="5:89" x14ac:dyDescent="0.2">
      <c r="F291" s="297"/>
      <c r="G291" s="481"/>
      <c r="H291" s="481"/>
      <c r="I291" s="470"/>
      <c r="J291" s="471"/>
      <c r="K291" s="472"/>
      <c r="L291" s="470"/>
      <c r="M291" s="471"/>
      <c r="N291" s="471"/>
      <c r="O291" s="470"/>
      <c r="P291" s="471"/>
      <c r="Q291" s="472"/>
      <c r="R291" s="297">
        <v>36</v>
      </c>
      <c r="S291" s="481">
        <v>21</v>
      </c>
      <c r="T291" s="485">
        <v>-83</v>
      </c>
      <c r="U291" s="470"/>
      <c r="V291" s="471"/>
      <c r="W291" s="472"/>
      <c r="X291" s="470"/>
      <c r="Y291" s="471"/>
      <c r="Z291" s="471"/>
      <c r="AA291" s="470"/>
      <c r="AB291" s="471"/>
      <c r="AC291" s="472"/>
      <c r="AD291" s="39"/>
      <c r="AE291" s="481"/>
      <c r="AF291" s="481"/>
      <c r="AG291" s="21"/>
      <c r="AH291" s="481"/>
      <c r="AI291" s="482"/>
      <c r="AJ291" s="470"/>
      <c r="AK291" s="471"/>
      <c r="AL291" s="471"/>
      <c r="AM291" s="470"/>
      <c r="AN291" s="471"/>
      <c r="AO291" s="472"/>
      <c r="AP291" s="39">
        <v>57.8</v>
      </c>
      <c r="AQ291" s="481">
        <v>19</v>
      </c>
      <c r="AR291" s="482">
        <v>-73</v>
      </c>
      <c r="AS291" s="24">
        <v>120</v>
      </c>
      <c r="AT291" s="481">
        <v>19</v>
      </c>
      <c r="AU291" s="482">
        <v>-71</v>
      </c>
      <c r="AV291" s="470"/>
      <c r="AW291" s="471"/>
      <c r="AX291" s="471"/>
      <c r="AY291" s="470"/>
      <c r="AZ291" s="471"/>
      <c r="BA291" s="472"/>
      <c r="BB291" s="470"/>
      <c r="BC291" s="471"/>
      <c r="BD291" s="471"/>
      <c r="BE291" s="470"/>
      <c r="BF291" s="471"/>
      <c r="BG291" s="472"/>
      <c r="BH291" s="470"/>
      <c r="BI291" s="471"/>
      <c r="BJ291" s="471"/>
      <c r="BK291" s="470"/>
      <c r="BL291" s="471"/>
      <c r="BM291" s="472"/>
      <c r="BN291" s="470"/>
      <c r="BO291" s="471"/>
      <c r="BP291" s="471"/>
      <c r="BQ291" s="470"/>
      <c r="BR291" s="471"/>
      <c r="BS291" s="472"/>
      <c r="BT291" s="470"/>
      <c r="BU291" s="471"/>
      <c r="BV291" s="471"/>
      <c r="BW291" s="470"/>
      <c r="BX291" s="471"/>
      <c r="BY291" s="472"/>
      <c r="BZ291" s="39"/>
      <c r="CA291" s="481"/>
      <c r="CB291" s="482"/>
      <c r="CC291" s="39"/>
      <c r="CD291" s="481"/>
      <c r="CE291" s="482"/>
      <c r="CF291" s="297"/>
      <c r="CG291" s="24"/>
      <c r="CH291" s="308"/>
      <c r="CI291" s="297"/>
      <c r="CJ291" s="24"/>
      <c r="CK291" s="308"/>
    </row>
    <row r="292" spans="5:89" x14ac:dyDescent="0.2">
      <c r="F292" s="297"/>
      <c r="G292" s="481"/>
      <c r="H292" s="481"/>
      <c r="I292" s="470"/>
      <c r="J292" s="471"/>
      <c r="K292" s="472"/>
      <c r="L292" s="470"/>
      <c r="M292" s="471"/>
      <c r="N292" s="471"/>
      <c r="O292" s="470"/>
      <c r="P292" s="471"/>
      <c r="Q292" s="472"/>
      <c r="R292" s="297">
        <v>48</v>
      </c>
      <c r="S292" s="481">
        <v>20</v>
      </c>
      <c r="T292" s="485">
        <v>-78</v>
      </c>
      <c r="U292" s="470"/>
      <c r="V292" s="471"/>
      <c r="W292" s="472"/>
      <c r="X292" s="470"/>
      <c r="Y292" s="471"/>
      <c r="Z292" s="471"/>
      <c r="AA292" s="470"/>
      <c r="AB292" s="471"/>
      <c r="AC292" s="472"/>
      <c r="AD292" s="39"/>
      <c r="AE292" s="481"/>
      <c r="AF292" s="481"/>
      <c r="AG292" s="21"/>
      <c r="AH292" s="481"/>
      <c r="AI292" s="482"/>
      <c r="AJ292" s="470"/>
      <c r="AK292" s="471"/>
      <c r="AL292" s="471"/>
      <c r="AM292" s="470"/>
      <c r="AN292" s="471"/>
      <c r="AO292" s="472"/>
      <c r="AP292" s="39">
        <v>65</v>
      </c>
      <c r="AQ292" s="481">
        <v>19</v>
      </c>
      <c r="AR292" s="482">
        <v>-71</v>
      </c>
      <c r="AS292" s="24">
        <v>135</v>
      </c>
      <c r="AT292" s="481">
        <v>19</v>
      </c>
      <c r="AU292" s="482">
        <v>-70</v>
      </c>
      <c r="AV292" s="470"/>
      <c r="AW292" s="471"/>
      <c r="AX292" s="471"/>
      <c r="AY292" s="470"/>
      <c r="AZ292" s="471"/>
      <c r="BA292" s="472"/>
      <c r="BB292" s="470"/>
      <c r="BC292" s="471"/>
      <c r="BD292" s="471"/>
      <c r="BE292" s="470"/>
      <c r="BF292" s="471"/>
      <c r="BG292" s="472"/>
      <c r="BH292" s="470"/>
      <c r="BI292" s="471"/>
      <c r="BJ292" s="471"/>
      <c r="BK292" s="470"/>
      <c r="BL292" s="471"/>
      <c r="BM292" s="472"/>
      <c r="BN292" s="470"/>
      <c r="BO292" s="471"/>
      <c r="BP292" s="471"/>
      <c r="BQ292" s="470"/>
      <c r="BR292" s="471"/>
      <c r="BS292" s="472"/>
      <c r="BT292" s="470"/>
      <c r="BU292" s="471"/>
      <c r="BV292" s="471"/>
      <c r="BW292" s="470"/>
      <c r="BX292" s="471"/>
      <c r="BY292" s="472"/>
      <c r="BZ292" s="39"/>
      <c r="CA292" s="481"/>
      <c r="CB292" s="482"/>
      <c r="CC292" s="39"/>
      <c r="CD292" s="481"/>
      <c r="CE292" s="482"/>
      <c r="CF292" s="297"/>
      <c r="CG292" s="24"/>
      <c r="CH292" s="308"/>
      <c r="CI292" s="297"/>
      <c r="CJ292" s="24"/>
      <c r="CK292" s="308"/>
    </row>
    <row r="293" spans="5:89" x14ac:dyDescent="0.2">
      <c r="F293" s="297"/>
      <c r="G293" s="481"/>
      <c r="H293" s="481"/>
      <c r="I293" s="470"/>
      <c r="J293" s="471"/>
      <c r="K293" s="472"/>
      <c r="L293" s="470"/>
      <c r="M293" s="471"/>
      <c r="N293" s="471"/>
      <c r="O293" s="470"/>
      <c r="P293" s="471"/>
      <c r="Q293" s="472"/>
      <c r="R293" s="297">
        <v>54</v>
      </c>
      <c r="S293" s="481">
        <v>19</v>
      </c>
      <c r="T293" s="485">
        <v>-76</v>
      </c>
      <c r="U293" s="470"/>
      <c r="V293" s="471"/>
      <c r="W293" s="472"/>
      <c r="X293" s="470"/>
      <c r="Y293" s="471"/>
      <c r="Z293" s="471"/>
      <c r="AA293" s="470"/>
      <c r="AB293" s="471"/>
      <c r="AC293" s="472"/>
      <c r="AD293" s="39"/>
      <c r="AE293" s="481"/>
      <c r="AF293" s="481"/>
      <c r="AG293" s="21"/>
      <c r="AH293" s="481"/>
      <c r="AI293" s="482"/>
      <c r="AJ293" s="470"/>
      <c r="AK293" s="471"/>
      <c r="AL293" s="471"/>
      <c r="AM293" s="470"/>
      <c r="AN293" s="471"/>
      <c r="AO293" s="472"/>
      <c r="AP293" s="39">
        <v>72.2</v>
      </c>
      <c r="AQ293" s="481">
        <v>18</v>
      </c>
      <c r="AR293" s="482">
        <v>-71</v>
      </c>
      <c r="AS293" s="21">
        <v>150</v>
      </c>
      <c r="AT293" s="481">
        <v>18</v>
      </c>
      <c r="AU293" s="482">
        <v>-68</v>
      </c>
      <c r="AV293" s="470"/>
      <c r="AW293" s="471"/>
      <c r="AX293" s="471"/>
      <c r="AY293" s="470"/>
      <c r="AZ293" s="471"/>
      <c r="BA293" s="472"/>
      <c r="BB293" s="470"/>
      <c r="BC293" s="471"/>
      <c r="BD293" s="471"/>
      <c r="BE293" s="470"/>
      <c r="BF293" s="471"/>
      <c r="BG293" s="472"/>
      <c r="BH293" s="470"/>
      <c r="BI293" s="471"/>
      <c r="BJ293" s="471"/>
      <c r="BK293" s="470"/>
      <c r="BL293" s="471"/>
      <c r="BM293" s="472"/>
      <c r="BN293" s="470"/>
      <c r="BO293" s="471"/>
      <c r="BP293" s="471"/>
      <c r="BQ293" s="470"/>
      <c r="BR293" s="471"/>
      <c r="BS293" s="472"/>
      <c r="BT293" s="470"/>
      <c r="BU293" s="471"/>
      <c r="BV293" s="471"/>
      <c r="BW293" s="470"/>
      <c r="BX293" s="471"/>
      <c r="BY293" s="472"/>
      <c r="BZ293" s="39"/>
      <c r="CA293" s="481"/>
      <c r="CB293" s="482"/>
      <c r="CC293" s="39"/>
      <c r="CD293" s="481"/>
      <c r="CE293" s="482"/>
      <c r="CF293" s="297"/>
      <c r="CG293" s="24"/>
      <c r="CH293" s="308"/>
      <c r="CI293" s="297"/>
      <c r="CJ293" s="24"/>
      <c r="CK293" s="308"/>
    </row>
    <row r="294" spans="5:89" x14ac:dyDescent="0.2">
      <c r="F294" s="297"/>
      <c r="G294" s="481"/>
      <c r="H294" s="481"/>
      <c r="I294" s="470"/>
      <c r="J294" s="471"/>
      <c r="K294" s="472"/>
      <c r="L294" s="470"/>
      <c r="M294" s="471"/>
      <c r="N294" s="471"/>
      <c r="O294" s="470"/>
      <c r="P294" s="471"/>
      <c r="Q294" s="472"/>
      <c r="R294" s="52"/>
      <c r="S294" s="2"/>
      <c r="T294" s="2"/>
      <c r="U294" s="470"/>
      <c r="V294" s="471"/>
      <c r="W294" s="472"/>
      <c r="X294" s="470"/>
      <c r="Y294" s="471"/>
      <c r="Z294" s="471"/>
      <c r="AA294" s="470"/>
      <c r="AB294" s="471"/>
      <c r="AC294" s="472"/>
      <c r="AD294" s="39"/>
      <c r="AE294" s="24"/>
      <c r="AF294" s="24"/>
      <c r="AG294" s="39"/>
      <c r="AH294" s="24"/>
      <c r="AI294" s="95"/>
      <c r="AJ294" s="470"/>
      <c r="AK294" s="471"/>
      <c r="AL294" s="471"/>
      <c r="AM294" s="470"/>
      <c r="AN294" s="471"/>
      <c r="AO294" s="472"/>
      <c r="AP294" s="39">
        <v>86.7</v>
      </c>
      <c r="AQ294" s="2">
        <v>17</v>
      </c>
      <c r="AR294" s="10">
        <v>-67</v>
      </c>
      <c r="AS294" s="2">
        <v>180</v>
      </c>
      <c r="AT294" s="2">
        <v>17</v>
      </c>
      <c r="AU294" s="53">
        <v>-64</v>
      </c>
      <c r="AV294" s="470"/>
      <c r="AW294" s="471"/>
      <c r="AX294" s="471"/>
      <c r="AY294" s="470"/>
      <c r="AZ294" s="471"/>
      <c r="BA294" s="472"/>
      <c r="BB294" s="470"/>
      <c r="BC294" s="471"/>
      <c r="BD294" s="471"/>
      <c r="BE294" s="470"/>
      <c r="BF294" s="471"/>
      <c r="BG294" s="472"/>
      <c r="BH294" s="470"/>
      <c r="BI294" s="471"/>
      <c r="BJ294" s="471"/>
      <c r="BK294" s="470"/>
      <c r="BL294" s="471"/>
      <c r="BM294" s="472"/>
      <c r="BN294" s="470"/>
      <c r="BO294" s="471"/>
      <c r="BP294" s="471"/>
      <c r="BQ294" s="470"/>
      <c r="BR294" s="471"/>
      <c r="BS294" s="472"/>
      <c r="BT294" s="470"/>
      <c r="BU294" s="471"/>
      <c r="BV294" s="471"/>
      <c r="BW294" s="470"/>
      <c r="BX294" s="471"/>
      <c r="BY294" s="472"/>
      <c r="BZ294" s="39"/>
      <c r="CA294" s="2"/>
      <c r="CB294" s="10"/>
      <c r="CC294" s="39"/>
      <c r="CD294" s="2"/>
      <c r="CE294" s="53"/>
      <c r="CF294" s="297"/>
      <c r="CG294" s="24"/>
      <c r="CH294" s="308"/>
      <c r="CI294" s="297"/>
      <c r="CJ294" s="24"/>
      <c r="CK294" s="308"/>
    </row>
    <row r="295" spans="5:89" x14ac:dyDescent="0.2">
      <c r="F295" s="297"/>
      <c r="G295" s="481"/>
      <c r="H295" s="481"/>
      <c r="I295" s="470"/>
      <c r="J295" s="471"/>
      <c r="K295" s="472"/>
      <c r="L295" s="470"/>
      <c r="M295" s="471"/>
      <c r="N295" s="471"/>
      <c r="O295" s="470"/>
      <c r="P295" s="471"/>
      <c r="Q295" s="472"/>
      <c r="R295" s="52"/>
      <c r="S295" s="31"/>
      <c r="T295" s="31"/>
      <c r="U295" s="470"/>
      <c r="V295" s="471"/>
      <c r="W295" s="472"/>
      <c r="X295" s="470"/>
      <c r="Y295" s="471"/>
      <c r="Z295" s="471"/>
      <c r="AA295" s="470"/>
      <c r="AB295" s="471"/>
      <c r="AC295" s="472"/>
      <c r="AD295" s="39"/>
      <c r="AE295" s="24"/>
      <c r="AF295" s="24"/>
      <c r="AG295" s="39"/>
      <c r="AH295" s="24"/>
      <c r="AI295" s="95"/>
      <c r="AJ295" s="470"/>
      <c r="AK295" s="471"/>
      <c r="AL295" s="471"/>
      <c r="AM295" s="470"/>
      <c r="AN295" s="471"/>
      <c r="AO295" s="472"/>
      <c r="AP295" s="52"/>
      <c r="AQ295" s="2"/>
      <c r="AR295" s="10"/>
      <c r="AS295" s="2">
        <v>200</v>
      </c>
      <c r="AT295" s="2">
        <v>16</v>
      </c>
      <c r="AU295" s="53">
        <v>-62</v>
      </c>
      <c r="AV295" s="470"/>
      <c r="AW295" s="471"/>
      <c r="AX295" s="471"/>
      <c r="AY295" s="470"/>
      <c r="AZ295" s="471"/>
      <c r="BA295" s="472"/>
      <c r="BB295" s="470"/>
      <c r="BC295" s="471"/>
      <c r="BD295" s="471"/>
      <c r="BE295" s="470"/>
      <c r="BF295" s="471"/>
      <c r="BG295" s="472"/>
      <c r="BH295" s="470"/>
      <c r="BI295" s="471"/>
      <c r="BJ295" s="471"/>
      <c r="BK295" s="470"/>
      <c r="BL295" s="471"/>
      <c r="BM295" s="472"/>
      <c r="BN295" s="470"/>
      <c r="BO295" s="471"/>
      <c r="BP295" s="471"/>
      <c r="BQ295" s="470"/>
      <c r="BR295" s="471"/>
      <c r="BS295" s="472"/>
      <c r="BT295" s="470"/>
      <c r="BU295" s="471"/>
      <c r="BV295" s="471"/>
      <c r="BW295" s="470"/>
      <c r="BX295" s="471"/>
      <c r="BY295" s="472"/>
      <c r="BZ295" s="39"/>
      <c r="CA295" s="24"/>
      <c r="CB295" s="24"/>
      <c r="CC295" s="39"/>
      <c r="CD295" s="2"/>
      <c r="CE295" s="53"/>
      <c r="CF295" s="297"/>
      <c r="CG295" s="24"/>
      <c r="CH295" s="308"/>
      <c r="CI295" s="297"/>
      <c r="CJ295" s="24"/>
      <c r="CK295" s="308"/>
    </row>
    <row r="296" spans="5:89" ht="10.5" thickBot="1" x14ac:dyDescent="0.25">
      <c r="F296" s="298"/>
      <c r="G296" s="486"/>
      <c r="H296" s="486"/>
      <c r="I296" s="473"/>
      <c r="J296" s="474"/>
      <c r="K296" s="475"/>
      <c r="L296" s="473"/>
      <c r="M296" s="474"/>
      <c r="N296" s="474"/>
      <c r="O296" s="473"/>
      <c r="P296" s="474"/>
      <c r="Q296" s="475"/>
      <c r="R296" s="54"/>
      <c r="S296" s="303"/>
      <c r="T296" s="303"/>
      <c r="U296" s="473"/>
      <c r="V296" s="474"/>
      <c r="W296" s="475"/>
      <c r="X296" s="473"/>
      <c r="Y296" s="474"/>
      <c r="Z296" s="474"/>
      <c r="AA296" s="473"/>
      <c r="AB296" s="474"/>
      <c r="AC296" s="475"/>
      <c r="AD296" s="304"/>
      <c r="AE296" s="399"/>
      <c r="AF296" s="399"/>
      <c r="AG296" s="304"/>
      <c r="AH296" s="399"/>
      <c r="AI296" s="477"/>
      <c r="AJ296" s="473"/>
      <c r="AK296" s="474"/>
      <c r="AL296" s="474"/>
      <c r="AM296" s="473"/>
      <c r="AN296" s="474"/>
      <c r="AO296" s="475"/>
      <c r="AP296" s="54"/>
      <c r="AQ296" s="55"/>
      <c r="AR296" s="309"/>
      <c r="AS296" s="55"/>
      <c r="AT296" s="55"/>
      <c r="AU296" s="56"/>
      <c r="AV296" s="473"/>
      <c r="AW296" s="474"/>
      <c r="AX296" s="474"/>
      <c r="AY296" s="473"/>
      <c r="AZ296" s="474"/>
      <c r="BA296" s="475"/>
      <c r="BB296" s="473"/>
      <c r="BC296" s="474"/>
      <c r="BD296" s="474"/>
      <c r="BE296" s="473"/>
      <c r="BF296" s="474"/>
      <c r="BG296" s="475"/>
      <c r="BH296" s="473"/>
      <c r="BI296" s="474"/>
      <c r="BJ296" s="474"/>
      <c r="BK296" s="473"/>
      <c r="BL296" s="474"/>
      <c r="BM296" s="475"/>
      <c r="BN296" s="473"/>
      <c r="BO296" s="474"/>
      <c r="BP296" s="474"/>
      <c r="BQ296" s="473"/>
      <c r="BR296" s="474"/>
      <c r="BS296" s="475"/>
      <c r="BT296" s="473"/>
      <c r="BU296" s="474"/>
      <c r="BV296" s="474"/>
      <c r="BW296" s="473"/>
      <c r="BX296" s="474"/>
      <c r="BY296" s="475"/>
      <c r="BZ296" s="304"/>
      <c r="CA296" s="399"/>
      <c r="CB296" s="399"/>
      <c r="CC296" s="304"/>
      <c r="CD296" s="399"/>
      <c r="CE296" s="399"/>
      <c r="CF296" s="298"/>
      <c r="CG296" s="399"/>
      <c r="CH296" s="478"/>
      <c r="CI296" s="298"/>
      <c r="CJ296" s="399"/>
      <c r="CK296" s="478"/>
    </row>
    <row r="298" spans="5:89" ht="10.5" x14ac:dyDescent="0.25">
      <c r="F298" s="26" t="s">
        <v>0</v>
      </c>
      <c r="G298" s="26"/>
      <c r="H298" s="449"/>
      <c r="I298" s="26"/>
      <c r="J298" s="26"/>
      <c r="K298" s="26"/>
      <c r="L298" s="26"/>
      <c r="M298" s="26"/>
      <c r="N298" s="26"/>
      <c r="O298" s="26"/>
      <c r="P298" s="26"/>
      <c r="Q298" s="26"/>
      <c r="R298" s="449" t="s">
        <v>1</v>
      </c>
      <c r="S298" s="25"/>
      <c r="T298" s="452"/>
      <c r="U298" s="25"/>
      <c r="AD298" s="450" t="s">
        <v>410</v>
      </c>
      <c r="AE298" s="450"/>
      <c r="AF298" s="451"/>
      <c r="AG298" s="450"/>
      <c r="AP298" s="450" t="s">
        <v>411</v>
      </c>
      <c r="AQ298" s="450"/>
      <c r="AR298" s="451"/>
      <c r="AS298" s="450"/>
      <c r="BB298" s="44" t="s">
        <v>223</v>
      </c>
      <c r="BD298" s="155"/>
      <c r="BN298" s="44" t="s">
        <v>351</v>
      </c>
      <c r="BZ298" s="44" t="s">
        <v>515</v>
      </c>
      <c r="CF298" s="2"/>
      <c r="CG298" s="2"/>
      <c r="CH298" s="2"/>
      <c r="CI298" s="2"/>
      <c r="CJ298" s="2"/>
      <c r="CK298" s="2"/>
    </row>
    <row r="299" spans="5:89" ht="11" thickBot="1" x14ac:dyDescent="0.3">
      <c r="F299" s="26" t="s">
        <v>113</v>
      </c>
      <c r="G299" s="26" t="s">
        <v>108</v>
      </c>
      <c r="H299" s="26" t="s">
        <v>109</v>
      </c>
      <c r="I299" s="26" t="s">
        <v>110</v>
      </c>
      <c r="J299" s="26" t="s">
        <v>111</v>
      </c>
      <c r="K299" s="26" t="s">
        <v>112</v>
      </c>
      <c r="L299" s="26"/>
      <c r="M299" s="26"/>
      <c r="N299" s="26"/>
      <c r="O299" s="26"/>
      <c r="P299" s="26"/>
      <c r="Q299" s="26"/>
      <c r="R299" s="26" t="s">
        <v>113</v>
      </c>
      <c r="S299" s="159" t="s">
        <v>108</v>
      </c>
      <c r="T299" s="159" t="s">
        <v>109</v>
      </c>
      <c r="U299" s="26" t="s">
        <v>110</v>
      </c>
      <c r="V299" s="26" t="s">
        <v>111</v>
      </c>
      <c r="W299" s="26" t="s">
        <v>112</v>
      </c>
      <c r="X299" s="26"/>
      <c r="Y299" s="26"/>
      <c r="Z299" s="26"/>
      <c r="AA299" s="26"/>
      <c r="AB299" s="26"/>
      <c r="AC299" s="26"/>
      <c r="AD299" s="159" t="s">
        <v>88</v>
      </c>
      <c r="AE299" s="159" t="s">
        <v>83</v>
      </c>
      <c r="AF299" s="159" t="s">
        <v>84</v>
      </c>
      <c r="AG299" s="159" t="s">
        <v>87</v>
      </c>
      <c r="AH299" s="159" t="s">
        <v>85</v>
      </c>
      <c r="AI299" s="159" t="s">
        <v>86</v>
      </c>
      <c r="AJ299" s="26"/>
      <c r="AK299" s="26"/>
      <c r="AL299" s="26"/>
      <c r="AM299" s="26"/>
      <c r="AN299" s="26"/>
      <c r="AO299" s="26"/>
      <c r="AP299" s="159" t="s">
        <v>88</v>
      </c>
      <c r="AQ299" s="159" t="s">
        <v>83</v>
      </c>
      <c r="AR299" s="159" t="s">
        <v>84</v>
      </c>
      <c r="AS299" s="159" t="s">
        <v>87</v>
      </c>
      <c r="AT299" s="159" t="s">
        <v>85</v>
      </c>
      <c r="AU299" s="159" t="s">
        <v>86</v>
      </c>
      <c r="AV299" s="26"/>
      <c r="AW299" s="26"/>
      <c r="AX299" s="26"/>
      <c r="AY299" s="26"/>
      <c r="AZ299" s="26"/>
      <c r="BA299" s="26"/>
      <c r="BB299" s="102" t="s">
        <v>88</v>
      </c>
      <c r="BC299" s="102" t="s">
        <v>83</v>
      </c>
      <c r="BD299" s="102" t="s">
        <v>84</v>
      </c>
      <c r="BE299" s="102" t="s">
        <v>87</v>
      </c>
      <c r="BF299" s="102" t="s">
        <v>85</v>
      </c>
      <c r="BG299" s="102" t="s">
        <v>86</v>
      </c>
      <c r="BH299" s="26"/>
      <c r="BI299" s="26"/>
      <c r="BJ299" s="26"/>
      <c r="BK299" s="26"/>
      <c r="BL299" s="26"/>
      <c r="BM299" s="26"/>
      <c r="BN299" s="102" t="s">
        <v>88</v>
      </c>
      <c r="BO299" s="102" t="s">
        <v>83</v>
      </c>
      <c r="BP299" s="102" t="s">
        <v>84</v>
      </c>
      <c r="BQ299" s="102" t="s">
        <v>87</v>
      </c>
      <c r="BR299" s="102" t="s">
        <v>85</v>
      </c>
      <c r="BS299" s="102" t="s">
        <v>86</v>
      </c>
      <c r="BT299" s="26"/>
      <c r="BU299" s="26"/>
      <c r="BV299" s="26"/>
      <c r="BW299" s="26"/>
      <c r="BX299" s="26"/>
      <c r="BY299" s="26"/>
      <c r="BZ299" s="102" t="s">
        <v>88</v>
      </c>
      <c r="CA299" s="102" t="s">
        <v>83</v>
      </c>
      <c r="CB299" s="102" t="s">
        <v>84</v>
      </c>
      <c r="CC299" s="102" t="s">
        <v>87</v>
      </c>
      <c r="CD299" s="102" t="s">
        <v>85</v>
      </c>
      <c r="CE299" s="102" t="s">
        <v>86</v>
      </c>
      <c r="CF299" s="159" t="s">
        <v>512</v>
      </c>
      <c r="CG299" s="159" t="s">
        <v>514</v>
      </c>
      <c r="CH299" s="159" t="s">
        <v>513</v>
      </c>
      <c r="CI299" s="102" t="s">
        <v>516</v>
      </c>
      <c r="CJ299" s="102" t="s">
        <v>517</v>
      </c>
      <c r="CK299" s="102" t="s">
        <v>518</v>
      </c>
    </row>
    <row r="300" spans="5:89" x14ac:dyDescent="0.2">
      <c r="E300" s="1" t="s">
        <v>666</v>
      </c>
      <c r="F300" s="293">
        <v>1</v>
      </c>
      <c r="G300" s="306">
        <v>23</v>
      </c>
      <c r="H300" s="306">
        <v>-95</v>
      </c>
      <c r="I300" s="467"/>
      <c r="J300" s="468"/>
      <c r="K300" s="469"/>
      <c r="L300" s="467"/>
      <c r="M300" s="468"/>
      <c r="N300" s="468"/>
      <c r="O300" s="467"/>
      <c r="P300" s="468"/>
      <c r="Q300" s="469"/>
      <c r="R300" s="293">
        <v>6</v>
      </c>
      <c r="S300" s="306">
        <v>23</v>
      </c>
      <c r="T300" s="301">
        <v>-94</v>
      </c>
      <c r="U300" s="467"/>
      <c r="V300" s="468"/>
      <c r="W300" s="469"/>
      <c r="X300" s="467"/>
      <c r="Y300" s="468"/>
      <c r="Z300" s="468"/>
      <c r="AA300" s="467"/>
      <c r="AB300" s="468"/>
      <c r="AC300" s="469"/>
      <c r="AD300" s="414">
        <v>7.2</v>
      </c>
      <c r="AE300" s="50">
        <v>24</v>
      </c>
      <c r="AF300" s="305">
        <v>-93</v>
      </c>
      <c r="AG300" s="96">
        <v>15</v>
      </c>
      <c r="AH300" s="306">
        <v>23</v>
      </c>
      <c r="AI300" s="305">
        <v>-92</v>
      </c>
      <c r="AJ300" s="467"/>
      <c r="AK300" s="468"/>
      <c r="AL300" s="468"/>
      <c r="AM300" s="467"/>
      <c r="AN300" s="468"/>
      <c r="AO300" s="469"/>
      <c r="AP300" s="414">
        <v>7.2</v>
      </c>
      <c r="AQ300" s="306">
        <v>23</v>
      </c>
      <c r="AR300" s="306">
        <v>-93</v>
      </c>
      <c r="AS300" s="414">
        <v>15</v>
      </c>
      <c r="AT300" s="306">
        <v>23</v>
      </c>
      <c r="AU300" s="306">
        <v>-93</v>
      </c>
      <c r="AV300" s="467"/>
      <c r="AW300" s="468"/>
      <c r="AX300" s="468"/>
      <c r="AY300" s="467"/>
      <c r="AZ300" s="468"/>
      <c r="BA300" s="469"/>
      <c r="BB300" s="467"/>
      <c r="BC300" s="468"/>
      <c r="BD300" s="468"/>
      <c r="BE300" s="467"/>
      <c r="BF300" s="468"/>
      <c r="BG300" s="469"/>
      <c r="BH300" s="467"/>
      <c r="BI300" s="468"/>
      <c r="BJ300" s="468"/>
      <c r="BK300" s="467"/>
      <c r="BL300" s="468"/>
      <c r="BM300" s="469"/>
      <c r="BN300" s="467"/>
      <c r="BO300" s="468"/>
      <c r="BP300" s="468"/>
      <c r="BQ300" s="467"/>
      <c r="BR300" s="468"/>
      <c r="BS300" s="469"/>
      <c r="BT300" s="467"/>
      <c r="BU300" s="468"/>
      <c r="BV300" s="468"/>
      <c r="BW300" s="467"/>
      <c r="BX300" s="468"/>
      <c r="BY300" s="469"/>
      <c r="BZ300" s="414">
        <v>7.2</v>
      </c>
      <c r="CA300" s="306">
        <v>19</v>
      </c>
      <c r="CB300" s="306">
        <v>-93</v>
      </c>
      <c r="CC300" s="414">
        <v>15</v>
      </c>
      <c r="CD300" s="306">
        <v>18</v>
      </c>
      <c r="CE300" s="306">
        <v>-90</v>
      </c>
      <c r="CF300" s="293">
        <v>32.5</v>
      </c>
      <c r="CG300" s="306">
        <v>18</v>
      </c>
      <c r="CH300" s="307">
        <v>-89</v>
      </c>
      <c r="CI300" s="467"/>
      <c r="CJ300" s="468"/>
      <c r="CK300" s="469"/>
    </row>
    <row r="301" spans="5:89" x14ac:dyDescent="0.2">
      <c r="E301" s="458" t="s">
        <v>665</v>
      </c>
      <c r="F301" s="296">
        <v>5.5</v>
      </c>
      <c r="G301" s="24">
        <v>23</v>
      </c>
      <c r="H301" s="24">
        <v>-92</v>
      </c>
      <c r="I301" s="470"/>
      <c r="J301" s="471"/>
      <c r="K301" s="472"/>
      <c r="L301" s="470"/>
      <c r="M301" s="471"/>
      <c r="N301" s="471"/>
      <c r="O301" s="470"/>
      <c r="P301" s="471"/>
      <c r="Q301" s="472"/>
      <c r="R301" s="297">
        <v>9</v>
      </c>
      <c r="S301" s="24">
        <v>23</v>
      </c>
      <c r="T301" s="31">
        <v>-94</v>
      </c>
      <c r="U301" s="470"/>
      <c r="V301" s="471"/>
      <c r="W301" s="472"/>
      <c r="X301" s="470"/>
      <c r="Y301" s="471"/>
      <c r="Z301" s="471"/>
      <c r="AA301" s="470"/>
      <c r="AB301" s="471"/>
      <c r="AC301" s="472"/>
      <c r="AD301" s="39">
        <v>14.4</v>
      </c>
      <c r="AE301" s="2">
        <v>24</v>
      </c>
      <c r="AF301" s="95">
        <v>-91</v>
      </c>
      <c r="AG301" s="24">
        <v>30</v>
      </c>
      <c r="AH301" s="24">
        <v>23</v>
      </c>
      <c r="AI301" s="95">
        <v>-88</v>
      </c>
      <c r="AJ301" s="470"/>
      <c r="AK301" s="471"/>
      <c r="AL301" s="471"/>
      <c r="AM301" s="470"/>
      <c r="AN301" s="471"/>
      <c r="AO301" s="472"/>
      <c r="AP301" s="39">
        <v>14.4</v>
      </c>
      <c r="AQ301" s="24">
        <v>23</v>
      </c>
      <c r="AR301" s="24">
        <v>-91</v>
      </c>
      <c r="AS301" s="39">
        <v>30</v>
      </c>
      <c r="AT301" s="24">
        <v>23</v>
      </c>
      <c r="AU301" s="24">
        <v>-91</v>
      </c>
      <c r="AV301" s="470"/>
      <c r="AW301" s="471"/>
      <c r="AX301" s="471"/>
      <c r="AY301" s="470"/>
      <c r="AZ301" s="471"/>
      <c r="BA301" s="472"/>
      <c r="BB301" s="470"/>
      <c r="BC301" s="471"/>
      <c r="BD301" s="471"/>
      <c r="BE301" s="470"/>
      <c r="BF301" s="471"/>
      <c r="BG301" s="472"/>
      <c r="BH301" s="470"/>
      <c r="BI301" s="471"/>
      <c r="BJ301" s="471"/>
      <c r="BK301" s="470"/>
      <c r="BL301" s="471"/>
      <c r="BM301" s="472"/>
      <c r="BN301" s="470"/>
      <c r="BO301" s="471"/>
      <c r="BP301" s="471"/>
      <c r="BQ301" s="470"/>
      <c r="BR301" s="471"/>
      <c r="BS301" s="472"/>
      <c r="BT301" s="470"/>
      <c r="BU301" s="471"/>
      <c r="BV301" s="471"/>
      <c r="BW301" s="470"/>
      <c r="BX301" s="471"/>
      <c r="BY301" s="472"/>
      <c r="BZ301" s="39">
        <v>14.4</v>
      </c>
      <c r="CA301" s="24">
        <v>19</v>
      </c>
      <c r="CB301" s="24">
        <v>-90</v>
      </c>
      <c r="CC301" s="39">
        <v>30</v>
      </c>
      <c r="CD301" s="24">
        <v>18</v>
      </c>
      <c r="CE301" s="24">
        <v>-88</v>
      </c>
      <c r="CF301" s="297">
        <v>65</v>
      </c>
      <c r="CG301" s="24">
        <v>18</v>
      </c>
      <c r="CH301" s="308">
        <v>-87</v>
      </c>
      <c r="CI301" s="470"/>
      <c r="CJ301" s="471"/>
      <c r="CK301" s="472"/>
    </row>
    <row r="302" spans="5:89" x14ac:dyDescent="0.2">
      <c r="F302" s="297">
        <v>6</v>
      </c>
      <c r="G302" s="24">
        <v>24</v>
      </c>
      <c r="H302" s="24">
        <v>-94</v>
      </c>
      <c r="I302" s="470"/>
      <c r="J302" s="471"/>
      <c r="K302" s="472"/>
      <c r="L302" s="470"/>
      <c r="M302" s="471"/>
      <c r="N302" s="471"/>
      <c r="O302" s="470"/>
      <c r="P302" s="471"/>
      <c r="Q302" s="472"/>
      <c r="R302" s="297">
        <v>12</v>
      </c>
      <c r="S302" s="24">
        <v>23</v>
      </c>
      <c r="T302" s="31">
        <v>-92</v>
      </c>
      <c r="U302" s="470"/>
      <c r="V302" s="471"/>
      <c r="W302" s="472"/>
      <c r="X302" s="470"/>
      <c r="Y302" s="471"/>
      <c r="Z302" s="471"/>
      <c r="AA302" s="470"/>
      <c r="AB302" s="471"/>
      <c r="AC302" s="472"/>
      <c r="AD302" s="39">
        <v>21.7</v>
      </c>
      <c r="AE302" s="24">
        <v>24</v>
      </c>
      <c r="AF302" s="95">
        <v>-89</v>
      </c>
      <c r="AG302" s="24">
        <v>45</v>
      </c>
      <c r="AH302" s="24">
        <v>23</v>
      </c>
      <c r="AI302" s="95">
        <v>-85</v>
      </c>
      <c r="AJ302" s="470"/>
      <c r="AK302" s="471"/>
      <c r="AL302" s="471"/>
      <c r="AM302" s="470"/>
      <c r="AN302" s="471"/>
      <c r="AO302" s="472"/>
      <c r="AP302" s="39">
        <v>21.7</v>
      </c>
      <c r="AQ302" s="24">
        <v>23</v>
      </c>
      <c r="AR302" s="24">
        <v>-90</v>
      </c>
      <c r="AS302" s="39">
        <v>45</v>
      </c>
      <c r="AT302" s="24">
        <v>23</v>
      </c>
      <c r="AU302" s="24">
        <v>-90</v>
      </c>
      <c r="AV302" s="470"/>
      <c r="AW302" s="471"/>
      <c r="AX302" s="471"/>
      <c r="AY302" s="470"/>
      <c r="AZ302" s="471"/>
      <c r="BA302" s="472"/>
      <c r="BB302" s="470"/>
      <c r="BC302" s="471"/>
      <c r="BD302" s="471"/>
      <c r="BE302" s="470"/>
      <c r="BF302" s="471"/>
      <c r="BG302" s="472"/>
      <c r="BH302" s="470"/>
      <c r="BI302" s="471"/>
      <c r="BJ302" s="471"/>
      <c r="BK302" s="470"/>
      <c r="BL302" s="471"/>
      <c r="BM302" s="472"/>
      <c r="BN302" s="470"/>
      <c r="BO302" s="471"/>
      <c r="BP302" s="471"/>
      <c r="BQ302" s="470"/>
      <c r="BR302" s="471"/>
      <c r="BS302" s="472"/>
      <c r="BT302" s="470"/>
      <c r="BU302" s="471"/>
      <c r="BV302" s="471"/>
      <c r="BW302" s="470"/>
      <c r="BX302" s="471"/>
      <c r="BY302" s="472"/>
      <c r="BZ302" s="39">
        <v>21.7</v>
      </c>
      <c r="CA302" s="24">
        <v>19</v>
      </c>
      <c r="CB302" s="24">
        <v>-87</v>
      </c>
      <c r="CC302" s="39">
        <v>45</v>
      </c>
      <c r="CD302" s="24">
        <v>18</v>
      </c>
      <c r="CE302" s="24">
        <v>-85</v>
      </c>
      <c r="CF302" s="297">
        <v>97.5</v>
      </c>
      <c r="CG302" s="24">
        <v>18</v>
      </c>
      <c r="CH302" s="308">
        <v>-85</v>
      </c>
      <c r="CI302" s="470"/>
      <c r="CJ302" s="471"/>
      <c r="CK302" s="472"/>
    </row>
    <row r="303" spans="5:89" x14ac:dyDescent="0.2">
      <c r="F303" s="297">
        <v>9</v>
      </c>
      <c r="G303" s="24">
        <v>24</v>
      </c>
      <c r="H303" s="24">
        <v>-93</v>
      </c>
      <c r="I303" s="470"/>
      <c r="J303" s="471"/>
      <c r="K303" s="472"/>
      <c r="L303" s="470"/>
      <c r="M303" s="471"/>
      <c r="N303" s="471"/>
      <c r="O303" s="470"/>
      <c r="P303" s="471"/>
      <c r="Q303" s="472"/>
      <c r="R303" s="297">
        <v>18</v>
      </c>
      <c r="S303" s="24">
        <v>23</v>
      </c>
      <c r="T303" s="31">
        <v>-90</v>
      </c>
      <c r="U303" s="470"/>
      <c r="V303" s="471"/>
      <c r="W303" s="472"/>
      <c r="X303" s="470"/>
      <c r="Y303" s="471"/>
      <c r="Z303" s="471"/>
      <c r="AA303" s="470"/>
      <c r="AB303" s="471"/>
      <c r="AC303" s="472"/>
      <c r="AD303" s="39">
        <v>28.9</v>
      </c>
      <c r="AE303" s="24">
        <v>23</v>
      </c>
      <c r="AF303" s="95">
        <v>-84</v>
      </c>
      <c r="AG303" s="24">
        <v>60</v>
      </c>
      <c r="AH303" s="24">
        <v>22</v>
      </c>
      <c r="AI303" s="95">
        <v>-82</v>
      </c>
      <c r="AJ303" s="470"/>
      <c r="AK303" s="471"/>
      <c r="AL303" s="471"/>
      <c r="AM303" s="470"/>
      <c r="AN303" s="471"/>
      <c r="AO303" s="472"/>
      <c r="AP303" s="39">
        <v>28.9</v>
      </c>
      <c r="AQ303" s="24">
        <v>22</v>
      </c>
      <c r="AR303" s="24">
        <v>-85</v>
      </c>
      <c r="AS303" s="39">
        <v>60</v>
      </c>
      <c r="AT303" s="24">
        <v>21</v>
      </c>
      <c r="AU303" s="24">
        <v>-85</v>
      </c>
      <c r="AV303" s="470"/>
      <c r="AW303" s="471"/>
      <c r="AX303" s="471"/>
      <c r="AY303" s="470"/>
      <c r="AZ303" s="471"/>
      <c r="BA303" s="472"/>
      <c r="BB303" s="470"/>
      <c r="BC303" s="471"/>
      <c r="BD303" s="471"/>
      <c r="BE303" s="470"/>
      <c r="BF303" s="471"/>
      <c r="BG303" s="472"/>
      <c r="BH303" s="470"/>
      <c r="BI303" s="471"/>
      <c r="BJ303" s="471"/>
      <c r="BK303" s="470"/>
      <c r="BL303" s="471"/>
      <c r="BM303" s="472"/>
      <c r="BN303" s="470"/>
      <c r="BO303" s="471"/>
      <c r="BP303" s="471"/>
      <c r="BQ303" s="470"/>
      <c r="BR303" s="471"/>
      <c r="BS303" s="472"/>
      <c r="BT303" s="470"/>
      <c r="BU303" s="471"/>
      <c r="BV303" s="471"/>
      <c r="BW303" s="470"/>
      <c r="BX303" s="471"/>
      <c r="BY303" s="472"/>
      <c r="BZ303" s="39">
        <v>28.9</v>
      </c>
      <c r="CA303" s="24">
        <v>18</v>
      </c>
      <c r="CB303" s="24">
        <v>-83</v>
      </c>
      <c r="CC303" s="39">
        <v>60</v>
      </c>
      <c r="CD303" s="24">
        <v>17</v>
      </c>
      <c r="CE303" s="24">
        <v>-82</v>
      </c>
      <c r="CF303" s="297">
        <v>130</v>
      </c>
      <c r="CG303" s="24">
        <v>17</v>
      </c>
      <c r="CH303" s="308">
        <v>-83</v>
      </c>
      <c r="CI303" s="470"/>
      <c r="CJ303" s="471"/>
      <c r="CK303" s="472"/>
    </row>
    <row r="304" spans="5:89" x14ac:dyDescent="0.2">
      <c r="F304" s="297">
        <v>11</v>
      </c>
      <c r="G304" s="24">
        <v>24</v>
      </c>
      <c r="H304" s="24">
        <v>-90</v>
      </c>
      <c r="I304" s="470"/>
      <c r="J304" s="471"/>
      <c r="K304" s="472"/>
      <c r="L304" s="470"/>
      <c r="M304" s="471"/>
      <c r="N304" s="471"/>
      <c r="O304" s="470"/>
      <c r="P304" s="471"/>
      <c r="Q304" s="472"/>
      <c r="R304" s="297">
        <v>24</v>
      </c>
      <c r="S304" s="24">
        <v>23</v>
      </c>
      <c r="T304" s="31">
        <v>-86</v>
      </c>
      <c r="U304" s="470"/>
      <c r="V304" s="471"/>
      <c r="W304" s="472"/>
      <c r="X304" s="470"/>
      <c r="Y304" s="471"/>
      <c r="Z304" s="471"/>
      <c r="AA304" s="470"/>
      <c r="AB304" s="471"/>
      <c r="AC304" s="472"/>
      <c r="AD304" s="39">
        <v>43.3</v>
      </c>
      <c r="AE304" s="24">
        <v>23</v>
      </c>
      <c r="AF304" s="95">
        <v>-83</v>
      </c>
      <c r="AG304" s="24">
        <v>90</v>
      </c>
      <c r="AH304" s="24">
        <v>22</v>
      </c>
      <c r="AI304" s="95">
        <v>-79</v>
      </c>
      <c r="AJ304" s="470"/>
      <c r="AK304" s="471"/>
      <c r="AL304" s="471"/>
      <c r="AM304" s="470"/>
      <c r="AN304" s="471"/>
      <c r="AO304" s="472"/>
      <c r="AP304" s="39">
        <v>43.3</v>
      </c>
      <c r="AQ304" s="24">
        <v>22</v>
      </c>
      <c r="AR304" s="24">
        <v>-82</v>
      </c>
      <c r="AS304" s="39">
        <v>90</v>
      </c>
      <c r="AT304" s="24">
        <v>21</v>
      </c>
      <c r="AU304" s="24">
        <v>-82</v>
      </c>
      <c r="AV304" s="470"/>
      <c r="AW304" s="471"/>
      <c r="AX304" s="471"/>
      <c r="AY304" s="470"/>
      <c r="AZ304" s="471"/>
      <c r="BA304" s="472"/>
      <c r="BB304" s="470"/>
      <c r="BC304" s="471"/>
      <c r="BD304" s="471"/>
      <c r="BE304" s="470"/>
      <c r="BF304" s="471"/>
      <c r="BG304" s="472"/>
      <c r="BH304" s="470"/>
      <c r="BI304" s="471"/>
      <c r="BJ304" s="471"/>
      <c r="BK304" s="470"/>
      <c r="BL304" s="471"/>
      <c r="BM304" s="472"/>
      <c r="BN304" s="470"/>
      <c r="BO304" s="471"/>
      <c r="BP304" s="471"/>
      <c r="BQ304" s="470"/>
      <c r="BR304" s="471"/>
      <c r="BS304" s="472"/>
      <c r="BT304" s="470"/>
      <c r="BU304" s="471"/>
      <c r="BV304" s="471"/>
      <c r="BW304" s="470"/>
      <c r="BX304" s="471"/>
      <c r="BY304" s="472"/>
      <c r="BZ304" s="39">
        <v>43.3</v>
      </c>
      <c r="CA304" s="24">
        <v>18</v>
      </c>
      <c r="CB304" s="24">
        <v>-80</v>
      </c>
      <c r="CC304" s="39">
        <v>90</v>
      </c>
      <c r="CD304" s="24">
        <v>17</v>
      </c>
      <c r="CE304" s="24">
        <v>-80</v>
      </c>
      <c r="CF304" s="297">
        <v>195</v>
      </c>
      <c r="CG304" s="24">
        <v>17</v>
      </c>
      <c r="CH304" s="308">
        <v>-80</v>
      </c>
      <c r="CI304" s="470"/>
      <c r="CJ304" s="471"/>
      <c r="CK304" s="472"/>
    </row>
    <row r="305" spans="5:89" x14ac:dyDescent="0.2">
      <c r="F305" s="297">
        <v>12</v>
      </c>
      <c r="G305" s="24">
        <v>24</v>
      </c>
      <c r="H305" s="24">
        <v>-92</v>
      </c>
      <c r="I305" s="470"/>
      <c r="J305" s="471"/>
      <c r="K305" s="472"/>
      <c r="L305" s="470"/>
      <c r="M305" s="471"/>
      <c r="N305" s="471"/>
      <c r="O305" s="470"/>
      <c r="P305" s="471"/>
      <c r="Q305" s="472"/>
      <c r="R305" s="297">
        <v>36</v>
      </c>
      <c r="S305" s="24">
        <v>21</v>
      </c>
      <c r="T305" s="31">
        <v>-84</v>
      </c>
      <c r="U305" s="470"/>
      <c r="V305" s="471"/>
      <c r="W305" s="472"/>
      <c r="X305" s="470"/>
      <c r="Y305" s="471"/>
      <c r="Z305" s="471"/>
      <c r="AA305" s="470"/>
      <c r="AB305" s="471"/>
      <c r="AC305" s="472"/>
      <c r="AD305" s="39">
        <v>57.8</v>
      </c>
      <c r="AE305" s="24">
        <v>23</v>
      </c>
      <c r="AF305" s="95">
        <v>-78</v>
      </c>
      <c r="AG305" s="24">
        <v>120</v>
      </c>
      <c r="AH305" s="24">
        <v>22</v>
      </c>
      <c r="AI305" s="95">
        <v>-75</v>
      </c>
      <c r="AJ305" s="470"/>
      <c r="AK305" s="471"/>
      <c r="AL305" s="471"/>
      <c r="AM305" s="470"/>
      <c r="AN305" s="471"/>
      <c r="AO305" s="472"/>
      <c r="AP305" s="39">
        <v>57.8</v>
      </c>
      <c r="AQ305" s="24">
        <v>20</v>
      </c>
      <c r="AR305" s="24">
        <v>-78</v>
      </c>
      <c r="AS305" s="39">
        <v>120</v>
      </c>
      <c r="AT305" s="24">
        <v>19</v>
      </c>
      <c r="AU305" s="24">
        <v>-78</v>
      </c>
      <c r="AV305" s="470"/>
      <c r="AW305" s="471"/>
      <c r="AX305" s="471"/>
      <c r="AY305" s="470"/>
      <c r="AZ305" s="471"/>
      <c r="BA305" s="472"/>
      <c r="BB305" s="470"/>
      <c r="BC305" s="471"/>
      <c r="BD305" s="471"/>
      <c r="BE305" s="470"/>
      <c r="BF305" s="471"/>
      <c r="BG305" s="472"/>
      <c r="BH305" s="470"/>
      <c r="BI305" s="471"/>
      <c r="BJ305" s="471"/>
      <c r="BK305" s="470"/>
      <c r="BL305" s="471"/>
      <c r="BM305" s="472"/>
      <c r="BN305" s="470"/>
      <c r="BO305" s="471"/>
      <c r="BP305" s="471"/>
      <c r="BQ305" s="470"/>
      <c r="BR305" s="471"/>
      <c r="BS305" s="472"/>
      <c r="BT305" s="470"/>
      <c r="BU305" s="471"/>
      <c r="BV305" s="471"/>
      <c r="BW305" s="470"/>
      <c r="BX305" s="471"/>
      <c r="BY305" s="472"/>
      <c r="BZ305" s="39">
        <v>57.8</v>
      </c>
      <c r="CA305" s="24">
        <v>17</v>
      </c>
      <c r="CB305" s="24">
        <v>-77</v>
      </c>
      <c r="CC305" s="39">
        <v>120</v>
      </c>
      <c r="CD305" s="24">
        <v>16</v>
      </c>
      <c r="CE305" s="24">
        <v>-75</v>
      </c>
      <c r="CF305" s="297">
        <v>260</v>
      </c>
      <c r="CG305" s="24">
        <v>16</v>
      </c>
      <c r="CH305" s="308">
        <v>-78</v>
      </c>
      <c r="CI305" s="470"/>
      <c r="CJ305" s="471"/>
      <c r="CK305" s="472"/>
    </row>
    <row r="306" spans="5:89" x14ac:dyDescent="0.2">
      <c r="F306" s="297">
        <v>18</v>
      </c>
      <c r="G306" s="24">
        <v>24</v>
      </c>
      <c r="H306" s="24">
        <v>-90</v>
      </c>
      <c r="I306" s="470"/>
      <c r="J306" s="471"/>
      <c r="K306" s="472"/>
      <c r="L306" s="470"/>
      <c r="M306" s="471"/>
      <c r="N306" s="471"/>
      <c r="O306" s="470"/>
      <c r="P306" s="471"/>
      <c r="Q306" s="472"/>
      <c r="R306" s="297">
        <v>48</v>
      </c>
      <c r="S306" s="24">
        <v>19</v>
      </c>
      <c r="T306" s="31">
        <v>-81</v>
      </c>
      <c r="U306" s="470"/>
      <c r="V306" s="471"/>
      <c r="W306" s="472"/>
      <c r="X306" s="470"/>
      <c r="Y306" s="471"/>
      <c r="Z306" s="471"/>
      <c r="AA306" s="470"/>
      <c r="AB306" s="471"/>
      <c r="AC306" s="472"/>
      <c r="AD306" s="39">
        <v>65</v>
      </c>
      <c r="AE306" s="24">
        <v>21</v>
      </c>
      <c r="AF306" s="95">
        <v>-78</v>
      </c>
      <c r="AG306" s="24">
        <v>135</v>
      </c>
      <c r="AH306" s="24">
        <v>21</v>
      </c>
      <c r="AI306" s="95">
        <v>-75</v>
      </c>
      <c r="AJ306" s="470"/>
      <c r="AK306" s="471"/>
      <c r="AL306" s="471"/>
      <c r="AM306" s="470"/>
      <c r="AN306" s="471"/>
      <c r="AO306" s="472"/>
      <c r="AP306" s="39">
        <v>65</v>
      </c>
      <c r="AQ306" s="24">
        <v>19</v>
      </c>
      <c r="AR306" s="24">
        <v>-77</v>
      </c>
      <c r="AS306" s="39">
        <v>135</v>
      </c>
      <c r="AT306" s="24">
        <v>18</v>
      </c>
      <c r="AU306" s="24">
        <v>-77</v>
      </c>
      <c r="AV306" s="470"/>
      <c r="AW306" s="471"/>
      <c r="AX306" s="471"/>
      <c r="AY306" s="470"/>
      <c r="AZ306" s="471"/>
      <c r="BA306" s="472"/>
      <c r="BB306" s="470"/>
      <c r="BC306" s="471"/>
      <c r="BD306" s="471"/>
      <c r="BE306" s="470"/>
      <c r="BF306" s="471"/>
      <c r="BG306" s="472"/>
      <c r="BH306" s="470"/>
      <c r="BI306" s="471"/>
      <c r="BJ306" s="471"/>
      <c r="BK306" s="470"/>
      <c r="BL306" s="471"/>
      <c r="BM306" s="472"/>
      <c r="BN306" s="470"/>
      <c r="BO306" s="471"/>
      <c r="BP306" s="471"/>
      <c r="BQ306" s="470"/>
      <c r="BR306" s="471"/>
      <c r="BS306" s="472"/>
      <c r="BT306" s="470"/>
      <c r="BU306" s="471"/>
      <c r="BV306" s="471"/>
      <c r="BW306" s="470"/>
      <c r="BX306" s="471"/>
      <c r="BY306" s="472"/>
      <c r="BZ306" s="39">
        <v>65</v>
      </c>
      <c r="CA306" s="24">
        <v>16</v>
      </c>
      <c r="CB306" s="24">
        <v>-74</v>
      </c>
      <c r="CC306" s="39">
        <v>135</v>
      </c>
      <c r="CD306" s="24">
        <v>15</v>
      </c>
      <c r="CE306" s="24">
        <v>-73</v>
      </c>
      <c r="CF306" s="297">
        <v>292.5</v>
      </c>
      <c r="CG306" s="24">
        <v>15</v>
      </c>
      <c r="CH306" s="308">
        <v>-75</v>
      </c>
      <c r="CI306" s="470"/>
      <c r="CJ306" s="471"/>
      <c r="CK306" s="472"/>
    </row>
    <row r="307" spans="5:89" x14ac:dyDescent="0.2">
      <c r="F307" s="297">
        <v>24</v>
      </c>
      <c r="G307" s="24">
        <v>24</v>
      </c>
      <c r="H307" s="24">
        <v>-88</v>
      </c>
      <c r="I307" s="470"/>
      <c r="J307" s="471"/>
      <c r="K307" s="472"/>
      <c r="L307" s="470"/>
      <c r="M307" s="471"/>
      <c r="N307" s="471"/>
      <c r="O307" s="470"/>
      <c r="P307" s="471"/>
      <c r="Q307" s="472"/>
      <c r="R307" s="297">
        <v>54</v>
      </c>
      <c r="S307" s="24">
        <v>18</v>
      </c>
      <c r="T307" s="31">
        <v>-80</v>
      </c>
      <c r="U307" s="470"/>
      <c r="V307" s="471"/>
      <c r="W307" s="472"/>
      <c r="X307" s="470"/>
      <c r="Y307" s="471"/>
      <c r="Z307" s="471"/>
      <c r="AA307" s="470"/>
      <c r="AB307" s="471"/>
      <c r="AC307" s="472"/>
      <c r="AD307" s="39">
        <v>72.2</v>
      </c>
      <c r="AE307" s="24">
        <v>19</v>
      </c>
      <c r="AF307" s="95">
        <v>-76</v>
      </c>
      <c r="AG307" s="21">
        <v>150</v>
      </c>
      <c r="AH307" s="24">
        <v>19</v>
      </c>
      <c r="AI307" s="95">
        <v>-73</v>
      </c>
      <c r="AJ307" s="470"/>
      <c r="AK307" s="471"/>
      <c r="AL307" s="471"/>
      <c r="AM307" s="470"/>
      <c r="AN307" s="471"/>
      <c r="AO307" s="472"/>
      <c r="AP307" s="39">
        <v>72.2</v>
      </c>
      <c r="AQ307" s="24">
        <v>19</v>
      </c>
      <c r="AR307" s="24">
        <v>-75</v>
      </c>
      <c r="AS307" s="39">
        <v>150</v>
      </c>
      <c r="AT307" s="24">
        <v>18</v>
      </c>
      <c r="AU307" s="24">
        <v>-75</v>
      </c>
      <c r="AV307" s="470"/>
      <c r="AW307" s="471"/>
      <c r="AX307" s="471"/>
      <c r="AY307" s="470"/>
      <c r="AZ307" s="471"/>
      <c r="BA307" s="472"/>
      <c r="BB307" s="470"/>
      <c r="BC307" s="471"/>
      <c r="BD307" s="471"/>
      <c r="BE307" s="470"/>
      <c r="BF307" s="471"/>
      <c r="BG307" s="472"/>
      <c r="BH307" s="470"/>
      <c r="BI307" s="471"/>
      <c r="BJ307" s="471"/>
      <c r="BK307" s="470"/>
      <c r="BL307" s="471"/>
      <c r="BM307" s="472"/>
      <c r="BN307" s="470"/>
      <c r="BO307" s="471"/>
      <c r="BP307" s="471"/>
      <c r="BQ307" s="470"/>
      <c r="BR307" s="471"/>
      <c r="BS307" s="472"/>
      <c r="BT307" s="470"/>
      <c r="BU307" s="471"/>
      <c r="BV307" s="471"/>
      <c r="BW307" s="470"/>
      <c r="BX307" s="471"/>
      <c r="BY307" s="472"/>
      <c r="BZ307" s="39">
        <v>72.2</v>
      </c>
      <c r="CA307" s="24">
        <v>14</v>
      </c>
      <c r="CB307" s="24">
        <v>-73</v>
      </c>
      <c r="CC307" s="39">
        <v>150</v>
      </c>
      <c r="CD307" s="24">
        <v>14</v>
      </c>
      <c r="CE307" s="24">
        <v>-73</v>
      </c>
      <c r="CF307" s="297">
        <v>325</v>
      </c>
      <c r="CG307" s="24">
        <v>14</v>
      </c>
      <c r="CH307" s="308">
        <v>-72</v>
      </c>
      <c r="CI307" s="470"/>
      <c r="CJ307" s="471"/>
      <c r="CK307" s="472"/>
    </row>
    <row r="308" spans="5:89" x14ac:dyDescent="0.2">
      <c r="F308" s="297">
        <v>36</v>
      </c>
      <c r="G308" s="24">
        <v>23</v>
      </c>
      <c r="H308" s="24">
        <v>-85</v>
      </c>
      <c r="I308" s="470"/>
      <c r="J308" s="471"/>
      <c r="K308" s="472"/>
      <c r="L308" s="470"/>
      <c r="M308" s="471"/>
      <c r="N308" s="471"/>
      <c r="O308" s="470"/>
      <c r="P308" s="471"/>
      <c r="Q308" s="472"/>
      <c r="R308" s="52"/>
      <c r="S308" s="2"/>
      <c r="T308" s="2"/>
      <c r="U308" s="470"/>
      <c r="V308" s="471"/>
      <c r="W308" s="472"/>
      <c r="X308" s="470"/>
      <c r="Y308" s="471"/>
      <c r="Z308" s="471"/>
      <c r="AA308" s="470"/>
      <c r="AB308" s="471"/>
      <c r="AC308" s="472"/>
      <c r="AD308" s="39"/>
      <c r="AE308" s="24"/>
      <c r="AF308" s="24"/>
      <c r="AG308" s="39"/>
      <c r="AH308" s="24"/>
      <c r="AI308" s="95"/>
      <c r="AJ308" s="470"/>
      <c r="AK308" s="471"/>
      <c r="AL308" s="471"/>
      <c r="AM308" s="470"/>
      <c r="AN308" s="471"/>
      <c r="AO308" s="472"/>
      <c r="AP308" s="39"/>
      <c r="AQ308" s="24"/>
      <c r="AR308" s="24"/>
      <c r="AS308" s="39"/>
      <c r="AT308" s="24"/>
      <c r="AU308" s="24"/>
      <c r="AV308" s="470"/>
      <c r="AW308" s="471"/>
      <c r="AX308" s="471"/>
      <c r="AY308" s="470"/>
      <c r="AZ308" s="471"/>
      <c r="BA308" s="472"/>
      <c r="BB308" s="470"/>
      <c r="BC308" s="471"/>
      <c r="BD308" s="471"/>
      <c r="BE308" s="470"/>
      <c r="BF308" s="471"/>
      <c r="BG308" s="472"/>
      <c r="BH308" s="470"/>
      <c r="BI308" s="471"/>
      <c r="BJ308" s="471"/>
      <c r="BK308" s="470"/>
      <c r="BL308" s="471"/>
      <c r="BM308" s="472"/>
      <c r="BN308" s="470"/>
      <c r="BO308" s="471"/>
      <c r="BP308" s="471"/>
      <c r="BQ308" s="470"/>
      <c r="BR308" s="471"/>
      <c r="BS308" s="472"/>
      <c r="BT308" s="470"/>
      <c r="BU308" s="471"/>
      <c r="BV308" s="471"/>
      <c r="BW308" s="470"/>
      <c r="BX308" s="471"/>
      <c r="BY308" s="472"/>
      <c r="BZ308" s="39">
        <v>86.7</v>
      </c>
      <c r="CA308" s="24">
        <v>13</v>
      </c>
      <c r="CB308" s="24">
        <v>-71</v>
      </c>
      <c r="CC308" s="39">
        <v>180</v>
      </c>
      <c r="CD308" s="24">
        <v>13</v>
      </c>
      <c r="CE308" s="24">
        <v>-70</v>
      </c>
      <c r="CF308" s="297">
        <v>390</v>
      </c>
      <c r="CG308" s="24">
        <v>13</v>
      </c>
      <c r="CH308" s="308">
        <v>-70</v>
      </c>
      <c r="CI308" s="470"/>
      <c r="CJ308" s="471"/>
      <c r="CK308" s="472"/>
    </row>
    <row r="309" spans="5:89" x14ac:dyDescent="0.2">
      <c r="F309" s="297">
        <v>48</v>
      </c>
      <c r="G309" s="24">
        <v>22</v>
      </c>
      <c r="H309" s="24">
        <v>-81</v>
      </c>
      <c r="I309" s="470"/>
      <c r="J309" s="471"/>
      <c r="K309" s="472"/>
      <c r="L309" s="470"/>
      <c r="M309" s="471"/>
      <c r="N309" s="471"/>
      <c r="O309" s="470"/>
      <c r="P309" s="471"/>
      <c r="Q309" s="472"/>
      <c r="R309" s="52"/>
      <c r="S309" s="31"/>
      <c r="T309" s="31"/>
      <c r="U309" s="470"/>
      <c r="V309" s="471"/>
      <c r="W309" s="472"/>
      <c r="X309" s="470"/>
      <c r="Y309" s="471"/>
      <c r="Z309" s="471"/>
      <c r="AA309" s="470"/>
      <c r="AB309" s="471"/>
      <c r="AC309" s="472"/>
      <c r="AD309" s="39"/>
      <c r="AE309" s="24"/>
      <c r="AF309" s="24"/>
      <c r="AG309" s="39"/>
      <c r="AH309" s="24"/>
      <c r="AI309" s="95"/>
      <c r="AJ309" s="470"/>
      <c r="AK309" s="471"/>
      <c r="AL309" s="471"/>
      <c r="AM309" s="470"/>
      <c r="AN309" s="471"/>
      <c r="AO309" s="472"/>
      <c r="AP309" s="39"/>
      <c r="AQ309" s="24"/>
      <c r="AR309" s="24"/>
      <c r="AS309" s="39"/>
      <c r="AT309" s="24"/>
      <c r="AU309" s="24"/>
      <c r="AV309" s="470"/>
      <c r="AW309" s="471"/>
      <c r="AX309" s="471"/>
      <c r="AY309" s="470"/>
      <c r="AZ309" s="471"/>
      <c r="BA309" s="472"/>
      <c r="BB309" s="470"/>
      <c r="BC309" s="471"/>
      <c r="BD309" s="471"/>
      <c r="BE309" s="470"/>
      <c r="BF309" s="471"/>
      <c r="BG309" s="472"/>
      <c r="BH309" s="470"/>
      <c r="BI309" s="471"/>
      <c r="BJ309" s="471"/>
      <c r="BK309" s="470"/>
      <c r="BL309" s="471"/>
      <c r="BM309" s="472"/>
      <c r="BN309" s="470"/>
      <c r="BO309" s="471"/>
      <c r="BP309" s="471"/>
      <c r="BQ309" s="470"/>
      <c r="BR309" s="471"/>
      <c r="BS309" s="472"/>
      <c r="BT309" s="470"/>
      <c r="BU309" s="471"/>
      <c r="BV309" s="471"/>
      <c r="BW309" s="470"/>
      <c r="BX309" s="471"/>
      <c r="BY309" s="472"/>
      <c r="BZ309" s="39"/>
      <c r="CA309" s="24"/>
      <c r="CB309" s="24"/>
      <c r="CC309" s="39">
        <v>200</v>
      </c>
      <c r="CD309" s="24">
        <v>13</v>
      </c>
      <c r="CE309" s="24">
        <v>-68</v>
      </c>
      <c r="CF309" s="297">
        <v>433.3</v>
      </c>
      <c r="CG309" s="24">
        <v>13</v>
      </c>
      <c r="CH309" s="308">
        <v>-68</v>
      </c>
      <c r="CI309" s="470"/>
      <c r="CJ309" s="471"/>
      <c r="CK309" s="472"/>
    </row>
    <row r="310" spans="5:89" ht="10.5" thickBot="1" x14ac:dyDescent="0.25">
      <c r="F310" s="298">
        <v>54</v>
      </c>
      <c r="G310" s="399">
        <v>21</v>
      </c>
      <c r="H310" s="399">
        <v>-80</v>
      </c>
      <c r="I310" s="473"/>
      <c r="J310" s="474"/>
      <c r="K310" s="475"/>
      <c r="L310" s="473"/>
      <c r="M310" s="474"/>
      <c r="N310" s="474"/>
      <c r="O310" s="473"/>
      <c r="P310" s="474"/>
      <c r="Q310" s="475"/>
      <c r="R310" s="54"/>
      <c r="S310" s="303"/>
      <c r="T310" s="303"/>
      <c r="U310" s="473"/>
      <c r="V310" s="474"/>
      <c r="W310" s="475"/>
      <c r="X310" s="473"/>
      <c r="Y310" s="474"/>
      <c r="Z310" s="474"/>
      <c r="AA310" s="473"/>
      <c r="AB310" s="474"/>
      <c r="AC310" s="475"/>
      <c r="AD310" s="304"/>
      <c r="AE310" s="399"/>
      <c r="AF310" s="399"/>
      <c r="AG310" s="304"/>
      <c r="AH310" s="399"/>
      <c r="AI310" s="477"/>
      <c r="AJ310" s="473"/>
      <c r="AK310" s="474"/>
      <c r="AL310" s="474"/>
      <c r="AM310" s="473"/>
      <c r="AN310" s="474"/>
      <c r="AO310" s="475"/>
      <c r="AP310" s="304"/>
      <c r="AQ310" s="399"/>
      <c r="AR310" s="399"/>
      <c r="AS310" s="304"/>
      <c r="AT310" s="399"/>
      <c r="AU310" s="399"/>
      <c r="AV310" s="473"/>
      <c r="AW310" s="474"/>
      <c r="AX310" s="474"/>
      <c r="AY310" s="473"/>
      <c r="AZ310" s="474"/>
      <c r="BA310" s="475"/>
      <c r="BB310" s="473"/>
      <c r="BC310" s="474"/>
      <c r="BD310" s="474"/>
      <c r="BE310" s="473"/>
      <c r="BF310" s="474"/>
      <c r="BG310" s="475"/>
      <c r="BH310" s="473"/>
      <c r="BI310" s="474"/>
      <c r="BJ310" s="474"/>
      <c r="BK310" s="473"/>
      <c r="BL310" s="474"/>
      <c r="BM310" s="475"/>
      <c r="BN310" s="473"/>
      <c r="BO310" s="474"/>
      <c r="BP310" s="474"/>
      <c r="BQ310" s="473"/>
      <c r="BR310" s="474"/>
      <c r="BS310" s="475"/>
      <c r="BT310" s="473"/>
      <c r="BU310" s="474"/>
      <c r="BV310" s="474"/>
      <c r="BW310" s="473"/>
      <c r="BX310" s="474"/>
      <c r="BY310" s="475"/>
      <c r="BZ310" s="304"/>
      <c r="CA310" s="399"/>
      <c r="CB310" s="399"/>
      <c r="CC310" s="304"/>
      <c r="CD310" s="399"/>
      <c r="CE310" s="399"/>
      <c r="CF310" s="298"/>
      <c r="CG310" s="399"/>
      <c r="CH310" s="478"/>
      <c r="CI310" s="473"/>
      <c r="CJ310" s="474"/>
      <c r="CK310" s="475"/>
    </row>
    <row r="312" spans="5:89" ht="10.5" x14ac:dyDescent="0.25">
      <c r="F312" s="26" t="s">
        <v>0</v>
      </c>
      <c r="G312" s="26"/>
      <c r="H312" s="449"/>
      <c r="I312" s="26"/>
      <c r="J312" s="26"/>
      <c r="K312" s="26"/>
      <c r="L312" s="26"/>
      <c r="M312" s="26"/>
      <c r="N312" s="26"/>
      <c r="O312" s="26"/>
      <c r="P312" s="26"/>
      <c r="Q312" s="26"/>
      <c r="R312" s="449" t="s">
        <v>1</v>
      </c>
      <c r="S312" s="25"/>
      <c r="T312" s="452"/>
      <c r="U312" s="25"/>
      <c r="AD312" s="450" t="s">
        <v>410</v>
      </c>
      <c r="AE312" s="450"/>
      <c r="AF312" s="451"/>
      <c r="AG312" s="450"/>
      <c r="AP312" s="450" t="s">
        <v>411</v>
      </c>
      <c r="AQ312" s="450"/>
      <c r="AR312" s="451"/>
      <c r="AS312" s="450"/>
      <c r="BB312" s="44" t="s">
        <v>223</v>
      </c>
      <c r="BD312" s="155"/>
      <c r="BN312" s="44" t="s">
        <v>351</v>
      </c>
      <c r="BZ312" s="44" t="s">
        <v>515</v>
      </c>
      <c r="CF312" s="2"/>
      <c r="CG312" s="2"/>
      <c r="CH312" s="2"/>
      <c r="CI312" s="2"/>
      <c r="CJ312" s="2"/>
      <c r="CK312" s="2"/>
    </row>
    <row r="313" spans="5:89" ht="11" thickBot="1" x14ac:dyDescent="0.3">
      <c r="F313" s="26" t="s">
        <v>113</v>
      </c>
      <c r="G313" s="26" t="s">
        <v>108</v>
      </c>
      <c r="H313" s="26" t="s">
        <v>109</v>
      </c>
      <c r="I313" s="26" t="s">
        <v>110</v>
      </c>
      <c r="J313" s="26" t="s">
        <v>111</v>
      </c>
      <c r="K313" s="26" t="s">
        <v>112</v>
      </c>
      <c r="L313" s="26"/>
      <c r="M313" s="26"/>
      <c r="N313" s="26"/>
      <c r="O313" s="26"/>
      <c r="P313" s="26"/>
      <c r="Q313" s="26"/>
      <c r="R313" s="26" t="s">
        <v>113</v>
      </c>
      <c r="S313" s="159" t="s">
        <v>108</v>
      </c>
      <c r="T313" s="159" t="s">
        <v>109</v>
      </c>
      <c r="U313" s="26" t="s">
        <v>110</v>
      </c>
      <c r="V313" s="26" t="s">
        <v>111</v>
      </c>
      <c r="W313" s="26" t="s">
        <v>112</v>
      </c>
      <c r="X313" s="26"/>
      <c r="Y313" s="26"/>
      <c r="Z313" s="26"/>
      <c r="AA313" s="26"/>
      <c r="AB313" s="26"/>
      <c r="AC313" s="26"/>
      <c r="AD313" s="159" t="s">
        <v>88</v>
      </c>
      <c r="AE313" s="159" t="s">
        <v>83</v>
      </c>
      <c r="AF313" s="159" t="s">
        <v>84</v>
      </c>
      <c r="AG313" s="159" t="s">
        <v>87</v>
      </c>
      <c r="AH313" s="159" t="s">
        <v>85</v>
      </c>
      <c r="AI313" s="159" t="s">
        <v>86</v>
      </c>
      <c r="AJ313" s="26"/>
      <c r="AK313" s="26"/>
      <c r="AL313" s="26"/>
      <c r="AM313" s="26"/>
      <c r="AN313" s="26"/>
      <c r="AO313" s="26"/>
      <c r="AP313" s="159" t="s">
        <v>88</v>
      </c>
      <c r="AQ313" s="159" t="s">
        <v>83</v>
      </c>
      <c r="AR313" s="159" t="s">
        <v>84</v>
      </c>
      <c r="AS313" s="159" t="s">
        <v>87</v>
      </c>
      <c r="AT313" s="159" t="s">
        <v>85</v>
      </c>
      <c r="AU313" s="159" t="s">
        <v>86</v>
      </c>
      <c r="AV313" s="26"/>
      <c r="AW313" s="26"/>
      <c r="AX313" s="26"/>
      <c r="AY313" s="26"/>
      <c r="AZ313" s="26"/>
      <c r="BA313" s="26"/>
      <c r="BB313" s="102" t="s">
        <v>88</v>
      </c>
      <c r="BC313" s="102" t="s">
        <v>83</v>
      </c>
      <c r="BD313" s="102" t="s">
        <v>84</v>
      </c>
      <c r="BE313" s="102" t="s">
        <v>87</v>
      </c>
      <c r="BF313" s="102" t="s">
        <v>85</v>
      </c>
      <c r="BG313" s="102" t="s">
        <v>86</v>
      </c>
      <c r="BH313" s="26"/>
      <c r="BI313" s="26"/>
      <c r="BJ313" s="26"/>
      <c r="BK313" s="26"/>
      <c r="BL313" s="26"/>
      <c r="BM313" s="26"/>
      <c r="BN313" s="102" t="s">
        <v>88</v>
      </c>
      <c r="BO313" s="102" t="s">
        <v>83</v>
      </c>
      <c r="BP313" s="102" t="s">
        <v>84</v>
      </c>
      <c r="BQ313" s="102" t="s">
        <v>87</v>
      </c>
      <c r="BR313" s="102" t="s">
        <v>85</v>
      </c>
      <c r="BS313" s="102" t="s">
        <v>86</v>
      </c>
      <c r="BT313" s="26"/>
      <c r="BU313" s="26"/>
      <c r="BV313" s="26"/>
      <c r="BW313" s="26"/>
      <c r="BX313" s="26"/>
      <c r="BY313" s="26"/>
      <c r="BZ313" s="102" t="s">
        <v>88</v>
      </c>
      <c r="CA313" s="102" t="s">
        <v>83</v>
      </c>
      <c r="CB313" s="102" t="s">
        <v>84</v>
      </c>
      <c r="CC313" s="102" t="s">
        <v>87</v>
      </c>
      <c r="CD313" s="102" t="s">
        <v>85</v>
      </c>
      <c r="CE313" s="102" t="s">
        <v>86</v>
      </c>
      <c r="CF313" s="159" t="s">
        <v>512</v>
      </c>
      <c r="CG313" s="159" t="s">
        <v>514</v>
      </c>
      <c r="CH313" s="159" t="s">
        <v>513</v>
      </c>
      <c r="CI313" s="102" t="s">
        <v>516</v>
      </c>
      <c r="CJ313" s="102" t="s">
        <v>517</v>
      </c>
      <c r="CK313" s="102" t="s">
        <v>518</v>
      </c>
    </row>
    <row r="314" spans="5:89" x14ac:dyDescent="0.2">
      <c r="E314" s="1" t="s">
        <v>683</v>
      </c>
      <c r="F314" s="293">
        <v>1</v>
      </c>
      <c r="G314" s="306">
        <v>20</v>
      </c>
      <c r="H314" s="306">
        <v>-95</v>
      </c>
      <c r="I314" s="467"/>
      <c r="J314" s="468"/>
      <c r="K314" s="469"/>
      <c r="L314" s="467"/>
      <c r="M314" s="468"/>
      <c r="N314" s="468"/>
      <c r="O314" s="467"/>
      <c r="P314" s="468"/>
      <c r="Q314" s="683"/>
      <c r="R314" s="680"/>
      <c r="S314" s="468"/>
      <c r="T314" s="469"/>
      <c r="U314" s="467"/>
      <c r="V314" s="468"/>
      <c r="W314" s="469"/>
      <c r="X314" s="467"/>
      <c r="Y314" s="468"/>
      <c r="Z314" s="468"/>
      <c r="AA314" s="467"/>
      <c r="AB314" s="468"/>
      <c r="AC314" s="469"/>
      <c r="AD314" s="414">
        <v>7.2</v>
      </c>
      <c r="AE314" s="50">
        <v>20</v>
      </c>
      <c r="AF314" s="305">
        <v>-93</v>
      </c>
      <c r="AG314" s="96">
        <v>15</v>
      </c>
      <c r="AH314" s="306">
        <v>20</v>
      </c>
      <c r="AI314" s="305">
        <v>-92</v>
      </c>
      <c r="AJ314" s="467"/>
      <c r="AK314" s="468"/>
      <c r="AL314" s="468"/>
      <c r="AM314" s="467"/>
      <c r="AN314" s="468"/>
      <c r="AO314" s="469"/>
      <c r="AP314" s="467"/>
      <c r="AQ314" s="468"/>
      <c r="AR314" s="468"/>
      <c r="AS314" s="467"/>
      <c r="AT314" s="468"/>
      <c r="AU314" s="468"/>
      <c r="AV314" s="467"/>
      <c r="AW314" s="468"/>
      <c r="AX314" s="468"/>
      <c r="AY314" s="467"/>
      <c r="AZ314" s="468"/>
      <c r="BA314" s="469"/>
      <c r="BB314" s="467"/>
      <c r="BC314" s="468"/>
      <c r="BD314" s="468"/>
      <c r="BE314" s="467"/>
      <c r="BF314" s="468"/>
      <c r="BG314" s="469"/>
      <c r="BH314" s="467"/>
      <c r="BI314" s="468"/>
      <c r="BJ314" s="468"/>
      <c r="BK314" s="467"/>
      <c r="BL314" s="468"/>
      <c r="BM314" s="469"/>
      <c r="BN314" s="467"/>
      <c r="BO314" s="468"/>
      <c r="BP314" s="468"/>
      <c r="BQ314" s="467"/>
      <c r="BR314" s="468"/>
      <c r="BS314" s="469"/>
      <c r="BT314" s="467"/>
      <c r="BU314" s="468"/>
      <c r="BV314" s="468"/>
      <c r="BW314" s="467"/>
      <c r="BX314" s="468"/>
      <c r="BY314" s="469"/>
      <c r="BZ314" s="467"/>
      <c r="CA314" s="468"/>
      <c r="CB314" s="469"/>
      <c r="CC314" s="467"/>
      <c r="CD314" s="468"/>
      <c r="CE314" s="469"/>
      <c r="CF314" s="467"/>
      <c r="CG314" s="468"/>
      <c r="CH314" s="469"/>
      <c r="CI314" s="467"/>
      <c r="CJ314" s="468"/>
      <c r="CK314" s="469"/>
    </row>
    <row r="315" spans="5:89" x14ac:dyDescent="0.2">
      <c r="E315" s="458" t="s">
        <v>684</v>
      </c>
      <c r="F315" s="296">
        <v>5.5</v>
      </c>
      <c r="G315" s="24">
        <v>20</v>
      </c>
      <c r="H315" s="24">
        <v>-91</v>
      </c>
      <c r="I315" s="470"/>
      <c r="J315" s="471"/>
      <c r="K315" s="472"/>
      <c r="L315" s="470"/>
      <c r="M315" s="471"/>
      <c r="N315" s="471"/>
      <c r="O315" s="470"/>
      <c r="P315" s="471"/>
      <c r="Q315" s="684"/>
      <c r="R315" s="681"/>
      <c r="S315" s="471"/>
      <c r="T315" s="472"/>
      <c r="U315" s="470"/>
      <c r="V315" s="471"/>
      <c r="W315" s="472"/>
      <c r="X315" s="470"/>
      <c r="Y315" s="471"/>
      <c r="Z315" s="471"/>
      <c r="AA315" s="470"/>
      <c r="AB315" s="471"/>
      <c r="AC315" s="472"/>
      <c r="AD315" s="39">
        <v>14.4</v>
      </c>
      <c r="AE315" s="2">
        <v>20</v>
      </c>
      <c r="AF315" s="95">
        <v>-90</v>
      </c>
      <c r="AG315" s="24">
        <v>30</v>
      </c>
      <c r="AH315" s="24">
        <v>20</v>
      </c>
      <c r="AI315" s="95">
        <v>-89</v>
      </c>
      <c r="AJ315" s="470"/>
      <c r="AK315" s="471"/>
      <c r="AL315" s="471"/>
      <c r="AM315" s="470"/>
      <c r="AN315" s="471"/>
      <c r="AO315" s="472"/>
      <c r="AP315" s="470"/>
      <c r="AQ315" s="471"/>
      <c r="AR315" s="471"/>
      <c r="AS315" s="470"/>
      <c r="AT315" s="471"/>
      <c r="AU315" s="471"/>
      <c r="AV315" s="470"/>
      <c r="AW315" s="471"/>
      <c r="AX315" s="471"/>
      <c r="AY315" s="470"/>
      <c r="AZ315" s="471"/>
      <c r="BA315" s="472"/>
      <c r="BB315" s="470"/>
      <c r="BC315" s="471"/>
      <c r="BD315" s="471"/>
      <c r="BE315" s="470"/>
      <c r="BF315" s="471"/>
      <c r="BG315" s="472"/>
      <c r="BH315" s="470"/>
      <c r="BI315" s="471"/>
      <c r="BJ315" s="471"/>
      <c r="BK315" s="470"/>
      <c r="BL315" s="471"/>
      <c r="BM315" s="472"/>
      <c r="BN315" s="470"/>
      <c r="BO315" s="471"/>
      <c r="BP315" s="471"/>
      <c r="BQ315" s="470"/>
      <c r="BR315" s="471"/>
      <c r="BS315" s="472"/>
      <c r="BT315" s="470"/>
      <c r="BU315" s="471"/>
      <c r="BV315" s="471"/>
      <c r="BW315" s="470"/>
      <c r="BX315" s="471"/>
      <c r="BY315" s="472"/>
      <c r="BZ315" s="470"/>
      <c r="CA315" s="471"/>
      <c r="CB315" s="472"/>
      <c r="CC315" s="470"/>
      <c r="CD315" s="471"/>
      <c r="CE315" s="472"/>
      <c r="CF315" s="470"/>
      <c r="CG315" s="471"/>
      <c r="CH315" s="472"/>
      <c r="CI315" s="470"/>
      <c r="CJ315" s="471"/>
      <c r="CK315" s="472"/>
    </row>
    <row r="316" spans="5:89" x14ac:dyDescent="0.2">
      <c r="F316" s="297">
        <v>6</v>
      </c>
      <c r="G316" s="24">
        <v>20</v>
      </c>
      <c r="H316" s="24">
        <v>-93</v>
      </c>
      <c r="I316" s="470"/>
      <c r="J316" s="471"/>
      <c r="K316" s="472"/>
      <c r="L316" s="470"/>
      <c r="M316" s="471"/>
      <c r="N316" s="471"/>
      <c r="O316" s="470"/>
      <c r="P316" s="471"/>
      <c r="Q316" s="684"/>
      <c r="R316" s="681"/>
      <c r="S316" s="471"/>
      <c r="T316" s="472"/>
      <c r="U316" s="470"/>
      <c r="V316" s="471"/>
      <c r="W316" s="472"/>
      <c r="X316" s="470"/>
      <c r="Y316" s="471"/>
      <c r="Z316" s="471"/>
      <c r="AA316" s="470"/>
      <c r="AB316" s="471"/>
      <c r="AC316" s="472"/>
      <c r="AD316" s="39">
        <v>21.7</v>
      </c>
      <c r="AE316" s="24">
        <v>20</v>
      </c>
      <c r="AF316" s="95">
        <v>-87</v>
      </c>
      <c r="AG316" s="24">
        <v>45</v>
      </c>
      <c r="AH316" s="24">
        <v>20</v>
      </c>
      <c r="AI316" s="95">
        <v>-86</v>
      </c>
      <c r="AJ316" s="470"/>
      <c r="AK316" s="471"/>
      <c r="AL316" s="471"/>
      <c r="AM316" s="470"/>
      <c r="AN316" s="471"/>
      <c r="AO316" s="472"/>
      <c r="AP316" s="470"/>
      <c r="AQ316" s="471"/>
      <c r="AR316" s="471"/>
      <c r="AS316" s="470"/>
      <c r="AT316" s="471"/>
      <c r="AU316" s="471"/>
      <c r="AV316" s="470"/>
      <c r="AW316" s="471"/>
      <c r="AX316" s="471"/>
      <c r="AY316" s="470"/>
      <c r="AZ316" s="471"/>
      <c r="BA316" s="472"/>
      <c r="BB316" s="470"/>
      <c r="BC316" s="471"/>
      <c r="BD316" s="471"/>
      <c r="BE316" s="470"/>
      <c r="BF316" s="471"/>
      <c r="BG316" s="472"/>
      <c r="BH316" s="470"/>
      <c r="BI316" s="471"/>
      <c r="BJ316" s="471"/>
      <c r="BK316" s="470"/>
      <c r="BL316" s="471"/>
      <c r="BM316" s="472"/>
      <c r="BN316" s="470"/>
      <c r="BO316" s="471"/>
      <c r="BP316" s="471"/>
      <c r="BQ316" s="470"/>
      <c r="BR316" s="471"/>
      <c r="BS316" s="472"/>
      <c r="BT316" s="470"/>
      <c r="BU316" s="471"/>
      <c r="BV316" s="471"/>
      <c r="BW316" s="470"/>
      <c r="BX316" s="471"/>
      <c r="BY316" s="472"/>
      <c r="BZ316" s="470"/>
      <c r="CA316" s="471"/>
      <c r="CB316" s="472"/>
      <c r="CC316" s="470"/>
      <c r="CD316" s="471"/>
      <c r="CE316" s="472"/>
      <c r="CF316" s="470"/>
      <c r="CG316" s="471"/>
      <c r="CH316" s="472"/>
      <c r="CI316" s="470"/>
      <c r="CJ316" s="471"/>
      <c r="CK316" s="472"/>
    </row>
    <row r="317" spans="5:89" x14ac:dyDescent="0.2">
      <c r="F317" s="297">
        <v>9</v>
      </c>
      <c r="G317" s="24">
        <v>20</v>
      </c>
      <c r="H317" s="24">
        <v>-90</v>
      </c>
      <c r="I317" s="470"/>
      <c r="J317" s="471"/>
      <c r="K317" s="472"/>
      <c r="L317" s="470"/>
      <c r="M317" s="471"/>
      <c r="N317" s="471"/>
      <c r="O317" s="470"/>
      <c r="P317" s="471"/>
      <c r="Q317" s="684"/>
      <c r="R317" s="681"/>
      <c r="S317" s="471"/>
      <c r="T317" s="472"/>
      <c r="U317" s="470"/>
      <c r="V317" s="471"/>
      <c r="W317" s="472"/>
      <c r="X317" s="470"/>
      <c r="Y317" s="471"/>
      <c r="Z317" s="471"/>
      <c r="AA317" s="470"/>
      <c r="AB317" s="471"/>
      <c r="AC317" s="472"/>
      <c r="AD317" s="39">
        <v>28.9</v>
      </c>
      <c r="AE317" s="24">
        <v>20</v>
      </c>
      <c r="AF317" s="95">
        <v>-85</v>
      </c>
      <c r="AG317" s="24">
        <v>60</v>
      </c>
      <c r="AH317" s="24">
        <v>20</v>
      </c>
      <c r="AI317" s="95">
        <v>-82</v>
      </c>
      <c r="AJ317" s="470"/>
      <c r="AK317" s="471"/>
      <c r="AL317" s="471"/>
      <c r="AM317" s="470"/>
      <c r="AN317" s="471"/>
      <c r="AO317" s="472"/>
      <c r="AP317" s="470"/>
      <c r="AQ317" s="471"/>
      <c r="AR317" s="471"/>
      <c r="AS317" s="470"/>
      <c r="AT317" s="471"/>
      <c r="AU317" s="471"/>
      <c r="AV317" s="470"/>
      <c r="AW317" s="471"/>
      <c r="AX317" s="471"/>
      <c r="AY317" s="470"/>
      <c r="AZ317" s="471"/>
      <c r="BA317" s="472"/>
      <c r="BB317" s="470"/>
      <c r="BC317" s="471"/>
      <c r="BD317" s="471"/>
      <c r="BE317" s="470"/>
      <c r="BF317" s="471"/>
      <c r="BG317" s="472"/>
      <c r="BH317" s="470"/>
      <c r="BI317" s="471"/>
      <c r="BJ317" s="471"/>
      <c r="BK317" s="470"/>
      <c r="BL317" s="471"/>
      <c r="BM317" s="472"/>
      <c r="BN317" s="470"/>
      <c r="BO317" s="471"/>
      <c r="BP317" s="471"/>
      <c r="BQ317" s="470"/>
      <c r="BR317" s="471"/>
      <c r="BS317" s="472"/>
      <c r="BT317" s="470"/>
      <c r="BU317" s="471"/>
      <c r="BV317" s="471"/>
      <c r="BW317" s="470"/>
      <c r="BX317" s="471"/>
      <c r="BY317" s="472"/>
      <c r="BZ317" s="470"/>
      <c r="CA317" s="471"/>
      <c r="CB317" s="472"/>
      <c r="CC317" s="470"/>
      <c r="CD317" s="471"/>
      <c r="CE317" s="472"/>
      <c r="CF317" s="470"/>
      <c r="CG317" s="471"/>
      <c r="CH317" s="472"/>
      <c r="CI317" s="470"/>
      <c r="CJ317" s="471"/>
      <c r="CK317" s="472"/>
    </row>
    <row r="318" spans="5:89" x14ac:dyDescent="0.2">
      <c r="F318" s="297">
        <v>11</v>
      </c>
      <c r="G318" s="24">
        <v>20</v>
      </c>
      <c r="H318" s="24">
        <v>-89</v>
      </c>
      <c r="I318" s="470"/>
      <c r="J318" s="471"/>
      <c r="K318" s="472"/>
      <c r="L318" s="470"/>
      <c r="M318" s="471"/>
      <c r="N318" s="471"/>
      <c r="O318" s="470"/>
      <c r="P318" s="471"/>
      <c r="Q318" s="684"/>
      <c r="R318" s="681"/>
      <c r="S318" s="471"/>
      <c r="T318" s="472"/>
      <c r="U318" s="470"/>
      <c r="V318" s="471"/>
      <c r="W318" s="472"/>
      <c r="X318" s="470"/>
      <c r="Y318" s="471"/>
      <c r="Z318" s="471"/>
      <c r="AA318" s="470"/>
      <c r="AB318" s="471"/>
      <c r="AC318" s="472"/>
      <c r="AD318" s="39">
        <v>43.3</v>
      </c>
      <c r="AE318" s="24">
        <v>19</v>
      </c>
      <c r="AF318" s="95">
        <v>-81</v>
      </c>
      <c r="AG318" s="24">
        <v>90</v>
      </c>
      <c r="AH318" s="24">
        <v>19</v>
      </c>
      <c r="AI318" s="95">
        <v>-78</v>
      </c>
      <c r="AJ318" s="470"/>
      <c r="AK318" s="471"/>
      <c r="AL318" s="471"/>
      <c r="AM318" s="470"/>
      <c r="AN318" s="471"/>
      <c r="AO318" s="472"/>
      <c r="AP318" s="470"/>
      <c r="AQ318" s="471"/>
      <c r="AR318" s="471"/>
      <c r="AS318" s="470"/>
      <c r="AT318" s="471"/>
      <c r="AU318" s="471"/>
      <c r="AV318" s="470"/>
      <c r="AW318" s="471"/>
      <c r="AX318" s="471"/>
      <c r="AY318" s="470"/>
      <c r="AZ318" s="471"/>
      <c r="BA318" s="472"/>
      <c r="BB318" s="470"/>
      <c r="BC318" s="471"/>
      <c r="BD318" s="471"/>
      <c r="BE318" s="470"/>
      <c r="BF318" s="471"/>
      <c r="BG318" s="472"/>
      <c r="BH318" s="470"/>
      <c r="BI318" s="471"/>
      <c r="BJ318" s="471"/>
      <c r="BK318" s="470"/>
      <c r="BL318" s="471"/>
      <c r="BM318" s="472"/>
      <c r="BN318" s="470"/>
      <c r="BO318" s="471"/>
      <c r="BP318" s="471"/>
      <c r="BQ318" s="470"/>
      <c r="BR318" s="471"/>
      <c r="BS318" s="472"/>
      <c r="BT318" s="470"/>
      <c r="BU318" s="471"/>
      <c r="BV318" s="471"/>
      <c r="BW318" s="470"/>
      <c r="BX318" s="471"/>
      <c r="BY318" s="472"/>
      <c r="BZ318" s="470"/>
      <c r="CA318" s="471"/>
      <c r="CB318" s="472"/>
      <c r="CC318" s="470"/>
      <c r="CD318" s="471"/>
      <c r="CE318" s="472"/>
      <c r="CF318" s="470"/>
      <c r="CG318" s="471"/>
      <c r="CH318" s="472"/>
      <c r="CI318" s="470"/>
      <c r="CJ318" s="471"/>
      <c r="CK318" s="472"/>
    </row>
    <row r="319" spans="5:89" x14ac:dyDescent="0.2">
      <c r="F319" s="297">
        <v>12</v>
      </c>
      <c r="G319" s="24">
        <v>20</v>
      </c>
      <c r="H319" s="24">
        <v>-88</v>
      </c>
      <c r="I319" s="470"/>
      <c r="J319" s="471"/>
      <c r="K319" s="472"/>
      <c r="L319" s="470"/>
      <c r="M319" s="471"/>
      <c r="N319" s="471"/>
      <c r="O319" s="470"/>
      <c r="P319" s="471"/>
      <c r="Q319" s="684"/>
      <c r="R319" s="681"/>
      <c r="S319" s="471"/>
      <c r="T319" s="472"/>
      <c r="U319" s="470"/>
      <c r="V319" s="471"/>
      <c r="W319" s="472"/>
      <c r="X319" s="470"/>
      <c r="Y319" s="471"/>
      <c r="Z319" s="471"/>
      <c r="AA319" s="470"/>
      <c r="AB319" s="471"/>
      <c r="AC319" s="472"/>
      <c r="AD319" s="39">
        <v>57.8</v>
      </c>
      <c r="AE319" s="24">
        <v>18</v>
      </c>
      <c r="AF319" s="95">
        <v>-78</v>
      </c>
      <c r="AG319" s="24">
        <v>120</v>
      </c>
      <c r="AH319" s="24">
        <v>18</v>
      </c>
      <c r="AI319" s="95">
        <v>-73</v>
      </c>
      <c r="AJ319" s="470"/>
      <c r="AK319" s="471"/>
      <c r="AL319" s="471"/>
      <c r="AM319" s="470"/>
      <c r="AN319" s="471"/>
      <c r="AO319" s="472"/>
      <c r="AP319" s="470"/>
      <c r="AQ319" s="471"/>
      <c r="AR319" s="471"/>
      <c r="AS319" s="470"/>
      <c r="AT319" s="471"/>
      <c r="AU319" s="471"/>
      <c r="AV319" s="470"/>
      <c r="AW319" s="471"/>
      <c r="AX319" s="471"/>
      <c r="AY319" s="470"/>
      <c r="AZ319" s="471"/>
      <c r="BA319" s="472"/>
      <c r="BB319" s="470"/>
      <c r="BC319" s="471"/>
      <c r="BD319" s="471"/>
      <c r="BE319" s="470"/>
      <c r="BF319" s="471"/>
      <c r="BG319" s="472"/>
      <c r="BH319" s="470"/>
      <c r="BI319" s="471"/>
      <c r="BJ319" s="471"/>
      <c r="BK319" s="470"/>
      <c r="BL319" s="471"/>
      <c r="BM319" s="472"/>
      <c r="BN319" s="470"/>
      <c r="BO319" s="471"/>
      <c r="BP319" s="471"/>
      <c r="BQ319" s="470"/>
      <c r="BR319" s="471"/>
      <c r="BS319" s="472"/>
      <c r="BT319" s="470"/>
      <c r="BU319" s="471"/>
      <c r="BV319" s="471"/>
      <c r="BW319" s="470"/>
      <c r="BX319" s="471"/>
      <c r="BY319" s="472"/>
      <c r="BZ319" s="470"/>
      <c r="CA319" s="471"/>
      <c r="CB319" s="472"/>
      <c r="CC319" s="470"/>
      <c r="CD319" s="471"/>
      <c r="CE319" s="472"/>
      <c r="CF319" s="470"/>
      <c r="CG319" s="471"/>
      <c r="CH319" s="472"/>
      <c r="CI319" s="470"/>
      <c r="CJ319" s="471"/>
      <c r="CK319" s="472"/>
    </row>
    <row r="320" spans="5:89" x14ac:dyDescent="0.2">
      <c r="F320" s="297">
        <v>18</v>
      </c>
      <c r="G320" s="24">
        <v>20</v>
      </c>
      <c r="H320" s="24">
        <v>-85</v>
      </c>
      <c r="I320" s="470"/>
      <c r="J320" s="471"/>
      <c r="K320" s="472"/>
      <c r="L320" s="470"/>
      <c r="M320" s="471"/>
      <c r="N320" s="471"/>
      <c r="O320" s="470"/>
      <c r="P320" s="471"/>
      <c r="Q320" s="684"/>
      <c r="R320" s="681"/>
      <c r="S320" s="471"/>
      <c r="T320" s="472"/>
      <c r="U320" s="470"/>
      <c r="V320" s="471"/>
      <c r="W320" s="472"/>
      <c r="X320" s="470"/>
      <c r="Y320" s="471"/>
      <c r="Z320" s="471"/>
      <c r="AA320" s="470"/>
      <c r="AB320" s="471"/>
      <c r="AC320" s="472"/>
      <c r="AD320" s="39">
        <v>65</v>
      </c>
      <c r="AE320" s="24">
        <v>17</v>
      </c>
      <c r="AF320" s="95">
        <v>-76</v>
      </c>
      <c r="AG320" s="24">
        <v>135</v>
      </c>
      <c r="AH320" s="24">
        <v>17</v>
      </c>
      <c r="AI320" s="95">
        <v>-72</v>
      </c>
      <c r="AJ320" s="470"/>
      <c r="AK320" s="471"/>
      <c r="AL320" s="471"/>
      <c r="AM320" s="470"/>
      <c r="AN320" s="471"/>
      <c r="AO320" s="472"/>
      <c r="AP320" s="470"/>
      <c r="AQ320" s="471"/>
      <c r="AR320" s="471"/>
      <c r="AS320" s="470"/>
      <c r="AT320" s="471"/>
      <c r="AU320" s="471"/>
      <c r="AV320" s="470"/>
      <c r="AW320" s="471"/>
      <c r="AX320" s="471"/>
      <c r="AY320" s="470"/>
      <c r="AZ320" s="471"/>
      <c r="BA320" s="472"/>
      <c r="BB320" s="470"/>
      <c r="BC320" s="471"/>
      <c r="BD320" s="471"/>
      <c r="BE320" s="470"/>
      <c r="BF320" s="471"/>
      <c r="BG320" s="472"/>
      <c r="BH320" s="470"/>
      <c r="BI320" s="471"/>
      <c r="BJ320" s="471"/>
      <c r="BK320" s="470"/>
      <c r="BL320" s="471"/>
      <c r="BM320" s="472"/>
      <c r="BN320" s="470"/>
      <c r="BO320" s="471"/>
      <c r="BP320" s="471"/>
      <c r="BQ320" s="470"/>
      <c r="BR320" s="471"/>
      <c r="BS320" s="472"/>
      <c r="BT320" s="470"/>
      <c r="BU320" s="471"/>
      <c r="BV320" s="471"/>
      <c r="BW320" s="470"/>
      <c r="BX320" s="471"/>
      <c r="BY320" s="472"/>
      <c r="BZ320" s="470"/>
      <c r="CA320" s="471"/>
      <c r="CB320" s="472"/>
      <c r="CC320" s="470"/>
      <c r="CD320" s="471"/>
      <c r="CE320" s="472"/>
      <c r="CF320" s="470"/>
      <c r="CG320" s="471"/>
      <c r="CH320" s="472"/>
      <c r="CI320" s="470"/>
      <c r="CJ320" s="471"/>
      <c r="CK320" s="472"/>
    </row>
    <row r="321" spans="5:89" x14ac:dyDescent="0.2">
      <c r="F321" s="297">
        <v>24</v>
      </c>
      <c r="G321" s="24">
        <v>19</v>
      </c>
      <c r="H321" s="24">
        <v>-83</v>
      </c>
      <c r="I321" s="470"/>
      <c r="J321" s="471"/>
      <c r="K321" s="472"/>
      <c r="L321" s="470"/>
      <c r="M321" s="471"/>
      <c r="N321" s="471"/>
      <c r="O321" s="470"/>
      <c r="P321" s="471"/>
      <c r="Q321" s="684"/>
      <c r="R321" s="681"/>
      <c r="S321" s="471"/>
      <c r="T321" s="472"/>
      <c r="U321" s="470"/>
      <c r="V321" s="471"/>
      <c r="W321" s="472"/>
      <c r="X321" s="470"/>
      <c r="Y321" s="471"/>
      <c r="Z321" s="471"/>
      <c r="AA321" s="470"/>
      <c r="AB321" s="471"/>
      <c r="AC321" s="472"/>
      <c r="AD321" s="39">
        <v>72.2</v>
      </c>
      <c r="AE321" s="24">
        <v>16</v>
      </c>
      <c r="AF321" s="95">
        <v>-73</v>
      </c>
      <c r="AG321" s="21">
        <v>150</v>
      </c>
      <c r="AH321" s="24">
        <v>16</v>
      </c>
      <c r="AI321" s="95">
        <v>-70</v>
      </c>
      <c r="AJ321" s="470"/>
      <c r="AK321" s="471"/>
      <c r="AL321" s="471"/>
      <c r="AM321" s="470"/>
      <c r="AN321" s="471"/>
      <c r="AO321" s="472"/>
      <c r="AP321" s="470"/>
      <c r="AQ321" s="471"/>
      <c r="AR321" s="471"/>
      <c r="AS321" s="470"/>
      <c r="AT321" s="471"/>
      <c r="AU321" s="471"/>
      <c r="AV321" s="470"/>
      <c r="AW321" s="471"/>
      <c r="AX321" s="471"/>
      <c r="AY321" s="470"/>
      <c r="AZ321" s="471"/>
      <c r="BA321" s="472"/>
      <c r="BB321" s="470"/>
      <c r="BC321" s="471"/>
      <c r="BD321" s="471"/>
      <c r="BE321" s="470"/>
      <c r="BF321" s="471"/>
      <c r="BG321" s="472"/>
      <c r="BH321" s="470"/>
      <c r="BI321" s="471"/>
      <c r="BJ321" s="471"/>
      <c r="BK321" s="470"/>
      <c r="BL321" s="471"/>
      <c r="BM321" s="472"/>
      <c r="BN321" s="470"/>
      <c r="BO321" s="471"/>
      <c r="BP321" s="471"/>
      <c r="BQ321" s="470"/>
      <c r="BR321" s="471"/>
      <c r="BS321" s="472"/>
      <c r="BT321" s="470"/>
      <c r="BU321" s="471"/>
      <c r="BV321" s="471"/>
      <c r="BW321" s="470"/>
      <c r="BX321" s="471"/>
      <c r="BY321" s="472"/>
      <c r="BZ321" s="470"/>
      <c r="CA321" s="471"/>
      <c r="CB321" s="472"/>
      <c r="CC321" s="470"/>
      <c r="CD321" s="471"/>
      <c r="CE321" s="472"/>
      <c r="CF321" s="470"/>
      <c r="CG321" s="471"/>
      <c r="CH321" s="472"/>
      <c r="CI321" s="470"/>
      <c r="CJ321" s="471"/>
      <c r="CK321" s="472"/>
    </row>
    <row r="322" spans="5:89" x14ac:dyDescent="0.2">
      <c r="F322" s="297">
        <v>36</v>
      </c>
      <c r="G322" s="24">
        <v>19</v>
      </c>
      <c r="H322" s="24">
        <v>-80</v>
      </c>
      <c r="I322" s="470"/>
      <c r="J322" s="471"/>
      <c r="K322" s="472"/>
      <c r="L322" s="470"/>
      <c r="M322" s="471"/>
      <c r="N322" s="471"/>
      <c r="O322" s="470"/>
      <c r="P322" s="471"/>
      <c r="Q322" s="684"/>
      <c r="R322" s="681"/>
      <c r="S322" s="471"/>
      <c r="T322" s="472"/>
      <c r="U322" s="470"/>
      <c r="V322" s="471"/>
      <c r="W322" s="472"/>
      <c r="X322" s="470"/>
      <c r="Y322" s="471"/>
      <c r="Z322" s="471"/>
      <c r="AA322" s="470"/>
      <c r="AB322" s="471"/>
      <c r="AC322" s="472"/>
      <c r="AD322" s="39"/>
      <c r="AE322" s="24"/>
      <c r="AF322" s="24"/>
      <c r="AG322" s="39"/>
      <c r="AH322" s="24"/>
      <c r="AI322" s="95"/>
      <c r="AJ322" s="470"/>
      <c r="AK322" s="471"/>
      <c r="AL322" s="471"/>
      <c r="AM322" s="470"/>
      <c r="AN322" s="471"/>
      <c r="AO322" s="472"/>
      <c r="AP322" s="470"/>
      <c r="AQ322" s="471"/>
      <c r="AR322" s="471"/>
      <c r="AS322" s="470"/>
      <c r="AT322" s="471"/>
      <c r="AU322" s="471"/>
      <c r="AV322" s="470"/>
      <c r="AW322" s="471"/>
      <c r="AX322" s="471"/>
      <c r="AY322" s="470"/>
      <c r="AZ322" s="471"/>
      <c r="BA322" s="472"/>
      <c r="BB322" s="470"/>
      <c r="BC322" s="471"/>
      <c r="BD322" s="471"/>
      <c r="BE322" s="470"/>
      <c r="BF322" s="471"/>
      <c r="BG322" s="472"/>
      <c r="BH322" s="470"/>
      <c r="BI322" s="471"/>
      <c r="BJ322" s="471"/>
      <c r="BK322" s="470"/>
      <c r="BL322" s="471"/>
      <c r="BM322" s="472"/>
      <c r="BN322" s="470"/>
      <c r="BO322" s="471"/>
      <c r="BP322" s="471"/>
      <c r="BQ322" s="470"/>
      <c r="BR322" s="471"/>
      <c r="BS322" s="472"/>
      <c r="BT322" s="470"/>
      <c r="BU322" s="471"/>
      <c r="BV322" s="471"/>
      <c r="BW322" s="470"/>
      <c r="BX322" s="471"/>
      <c r="BY322" s="472"/>
      <c r="BZ322" s="470"/>
      <c r="CA322" s="471"/>
      <c r="CB322" s="472"/>
      <c r="CC322" s="470"/>
      <c r="CD322" s="471"/>
      <c r="CE322" s="472"/>
      <c r="CF322" s="470"/>
      <c r="CG322" s="471"/>
      <c r="CH322" s="472"/>
      <c r="CI322" s="470"/>
      <c r="CJ322" s="471"/>
      <c r="CK322" s="472"/>
    </row>
    <row r="323" spans="5:89" x14ac:dyDescent="0.2">
      <c r="F323" s="297">
        <v>48</v>
      </c>
      <c r="G323" s="24">
        <v>18</v>
      </c>
      <c r="H323" s="24">
        <v>-77</v>
      </c>
      <c r="I323" s="470"/>
      <c r="J323" s="471"/>
      <c r="K323" s="472"/>
      <c r="L323" s="470"/>
      <c r="M323" s="471"/>
      <c r="N323" s="471"/>
      <c r="O323" s="470"/>
      <c r="P323" s="471"/>
      <c r="Q323" s="684"/>
      <c r="R323" s="681"/>
      <c r="S323" s="471"/>
      <c r="T323" s="472"/>
      <c r="U323" s="470"/>
      <c r="V323" s="471"/>
      <c r="W323" s="472"/>
      <c r="X323" s="470"/>
      <c r="Y323" s="471"/>
      <c r="Z323" s="471"/>
      <c r="AA323" s="470"/>
      <c r="AB323" s="471"/>
      <c r="AC323" s="472"/>
      <c r="AD323" s="39"/>
      <c r="AE323" s="24"/>
      <c r="AF323" s="24"/>
      <c r="AG323" s="39"/>
      <c r="AH323" s="24"/>
      <c r="AI323" s="95"/>
      <c r="AJ323" s="470"/>
      <c r="AK323" s="471"/>
      <c r="AL323" s="471"/>
      <c r="AM323" s="470"/>
      <c r="AN323" s="471"/>
      <c r="AO323" s="472"/>
      <c r="AP323" s="470"/>
      <c r="AQ323" s="471"/>
      <c r="AR323" s="471"/>
      <c r="AS323" s="470"/>
      <c r="AT323" s="471"/>
      <c r="AU323" s="471"/>
      <c r="AV323" s="470"/>
      <c r="AW323" s="471"/>
      <c r="AX323" s="471"/>
      <c r="AY323" s="470"/>
      <c r="AZ323" s="471"/>
      <c r="BA323" s="472"/>
      <c r="BB323" s="470"/>
      <c r="BC323" s="471"/>
      <c r="BD323" s="471"/>
      <c r="BE323" s="470"/>
      <c r="BF323" s="471"/>
      <c r="BG323" s="472"/>
      <c r="BH323" s="470"/>
      <c r="BI323" s="471"/>
      <c r="BJ323" s="471"/>
      <c r="BK323" s="470"/>
      <c r="BL323" s="471"/>
      <c r="BM323" s="472"/>
      <c r="BN323" s="470"/>
      <c r="BO323" s="471"/>
      <c r="BP323" s="471"/>
      <c r="BQ323" s="470"/>
      <c r="BR323" s="471"/>
      <c r="BS323" s="472"/>
      <c r="BT323" s="470"/>
      <c r="BU323" s="471"/>
      <c r="BV323" s="471"/>
      <c r="BW323" s="470"/>
      <c r="BX323" s="471"/>
      <c r="BY323" s="472"/>
      <c r="BZ323" s="470"/>
      <c r="CA323" s="471"/>
      <c r="CB323" s="472"/>
      <c r="CC323" s="470"/>
      <c r="CD323" s="471"/>
      <c r="CE323" s="472"/>
      <c r="CF323" s="470"/>
      <c r="CG323" s="471"/>
      <c r="CH323" s="472"/>
      <c r="CI323" s="470"/>
      <c r="CJ323" s="471"/>
      <c r="CK323" s="472"/>
    </row>
    <row r="324" spans="5:89" ht="10.5" thickBot="1" x14ac:dyDescent="0.25">
      <c r="F324" s="298">
        <v>54</v>
      </c>
      <c r="G324" s="399">
        <v>17</v>
      </c>
      <c r="H324" s="399">
        <v>-73</v>
      </c>
      <c r="I324" s="473"/>
      <c r="J324" s="474"/>
      <c r="K324" s="475"/>
      <c r="L324" s="473"/>
      <c r="M324" s="474"/>
      <c r="N324" s="474"/>
      <c r="O324" s="473"/>
      <c r="P324" s="474"/>
      <c r="Q324" s="685"/>
      <c r="R324" s="682"/>
      <c r="S324" s="474"/>
      <c r="T324" s="475"/>
      <c r="U324" s="473"/>
      <c r="V324" s="474"/>
      <c r="W324" s="475"/>
      <c r="X324" s="473"/>
      <c r="Y324" s="474"/>
      <c r="Z324" s="474"/>
      <c r="AA324" s="473"/>
      <c r="AB324" s="474"/>
      <c r="AC324" s="475"/>
      <c r="AD324" s="304"/>
      <c r="AE324" s="399"/>
      <c r="AF324" s="399"/>
      <c r="AG324" s="304"/>
      <c r="AH324" s="399"/>
      <c r="AI324" s="477"/>
      <c r="AJ324" s="473"/>
      <c r="AK324" s="474"/>
      <c r="AL324" s="474"/>
      <c r="AM324" s="473"/>
      <c r="AN324" s="474"/>
      <c r="AO324" s="475"/>
      <c r="AP324" s="473"/>
      <c r="AQ324" s="474"/>
      <c r="AR324" s="474"/>
      <c r="AS324" s="473"/>
      <c r="AT324" s="474"/>
      <c r="AU324" s="474"/>
      <c r="AV324" s="473"/>
      <c r="AW324" s="474"/>
      <c r="AX324" s="474"/>
      <c r="AY324" s="473"/>
      <c r="AZ324" s="474"/>
      <c r="BA324" s="475"/>
      <c r="BB324" s="473"/>
      <c r="BC324" s="474"/>
      <c r="BD324" s="474"/>
      <c r="BE324" s="473"/>
      <c r="BF324" s="474"/>
      <c r="BG324" s="475"/>
      <c r="BH324" s="473"/>
      <c r="BI324" s="474"/>
      <c r="BJ324" s="474"/>
      <c r="BK324" s="473"/>
      <c r="BL324" s="474"/>
      <c r="BM324" s="475"/>
      <c r="BN324" s="473"/>
      <c r="BO324" s="474"/>
      <c r="BP324" s="474"/>
      <c r="BQ324" s="473"/>
      <c r="BR324" s="474"/>
      <c r="BS324" s="475"/>
      <c r="BT324" s="473"/>
      <c r="BU324" s="474"/>
      <c r="BV324" s="474"/>
      <c r="BW324" s="473"/>
      <c r="BX324" s="474"/>
      <c r="BY324" s="475"/>
      <c r="BZ324" s="473"/>
      <c r="CA324" s="474"/>
      <c r="CB324" s="475"/>
      <c r="CC324" s="473"/>
      <c r="CD324" s="474"/>
      <c r="CE324" s="475"/>
      <c r="CF324" s="473"/>
      <c r="CG324" s="474"/>
      <c r="CH324" s="475"/>
      <c r="CI324" s="473"/>
      <c r="CJ324" s="474"/>
      <c r="CK324" s="475"/>
    </row>
    <row r="326" spans="5:89" ht="10.5" x14ac:dyDescent="0.25">
      <c r="F326" s="26" t="s">
        <v>0</v>
      </c>
      <c r="G326" s="26"/>
      <c r="H326" s="449"/>
      <c r="I326" s="26"/>
      <c r="J326" s="26"/>
      <c r="K326" s="26"/>
      <c r="L326" s="26"/>
      <c r="M326" s="26"/>
      <c r="N326" s="26"/>
      <c r="O326" s="26"/>
      <c r="P326" s="26"/>
      <c r="Q326" s="26"/>
      <c r="R326" s="449" t="s">
        <v>1</v>
      </c>
      <c r="S326" s="25"/>
      <c r="T326" s="452"/>
      <c r="U326" s="25"/>
      <c r="AD326" s="450" t="s">
        <v>410</v>
      </c>
      <c r="AE326" s="450"/>
      <c r="AF326" s="451"/>
      <c r="AG326" s="450"/>
      <c r="AP326" s="450" t="s">
        <v>411</v>
      </c>
      <c r="AQ326" s="450"/>
      <c r="AR326" s="451"/>
      <c r="AS326" s="450"/>
      <c r="BB326" s="44" t="s">
        <v>223</v>
      </c>
      <c r="BD326" s="155"/>
      <c r="BN326" s="44" t="s">
        <v>351</v>
      </c>
      <c r="BZ326" s="44" t="s">
        <v>515</v>
      </c>
      <c r="CF326" s="2"/>
      <c r="CG326" s="2"/>
      <c r="CH326" s="2"/>
      <c r="CI326" s="2"/>
      <c r="CJ326" s="2"/>
      <c r="CK326" s="2"/>
    </row>
    <row r="327" spans="5:89" ht="11" thickBot="1" x14ac:dyDescent="0.3">
      <c r="F327" s="26" t="s">
        <v>113</v>
      </c>
      <c r="G327" s="26" t="s">
        <v>108</v>
      </c>
      <c r="H327" s="26" t="s">
        <v>109</v>
      </c>
      <c r="I327" s="26" t="s">
        <v>110</v>
      </c>
      <c r="J327" s="26" t="s">
        <v>111</v>
      </c>
      <c r="K327" s="26" t="s">
        <v>112</v>
      </c>
      <c r="L327" s="26"/>
      <c r="M327" s="26"/>
      <c r="N327" s="26"/>
      <c r="O327" s="26"/>
      <c r="P327" s="26"/>
      <c r="Q327" s="26"/>
      <c r="R327" s="26" t="s">
        <v>113</v>
      </c>
      <c r="S327" s="159" t="s">
        <v>108</v>
      </c>
      <c r="T327" s="159" t="s">
        <v>109</v>
      </c>
      <c r="U327" s="26" t="s">
        <v>110</v>
      </c>
      <c r="V327" s="26" t="s">
        <v>111</v>
      </c>
      <c r="W327" s="26" t="s">
        <v>112</v>
      </c>
      <c r="X327" s="26"/>
      <c r="Y327" s="26"/>
      <c r="Z327" s="26"/>
      <c r="AA327" s="26"/>
      <c r="AB327" s="26"/>
      <c r="AC327" s="26"/>
      <c r="AD327" s="159" t="s">
        <v>88</v>
      </c>
      <c r="AE327" s="159" t="s">
        <v>83</v>
      </c>
      <c r="AF327" s="159" t="s">
        <v>84</v>
      </c>
      <c r="AG327" s="159" t="s">
        <v>87</v>
      </c>
      <c r="AH327" s="159" t="s">
        <v>85</v>
      </c>
      <c r="AI327" s="159" t="s">
        <v>86</v>
      </c>
      <c r="AJ327" s="26"/>
      <c r="AK327" s="26"/>
      <c r="AL327" s="26"/>
      <c r="AM327" s="26"/>
      <c r="AN327" s="26"/>
      <c r="AO327" s="26"/>
      <c r="AP327" s="159" t="s">
        <v>88</v>
      </c>
      <c r="AQ327" s="159" t="s">
        <v>83</v>
      </c>
      <c r="AR327" s="159" t="s">
        <v>84</v>
      </c>
      <c r="AS327" s="159" t="s">
        <v>87</v>
      </c>
      <c r="AT327" s="159" t="s">
        <v>85</v>
      </c>
      <c r="AU327" s="159" t="s">
        <v>86</v>
      </c>
      <c r="AV327" s="26"/>
      <c r="AW327" s="26"/>
      <c r="AX327" s="26"/>
      <c r="AY327" s="26"/>
      <c r="AZ327" s="26"/>
      <c r="BA327" s="26"/>
      <c r="BB327" s="102" t="s">
        <v>88</v>
      </c>
      <c r="BC327" s="102" t="s">
        <v>83</v>
      </c>
      <c r="BD327" s="102" t="s">
        <v>84</v>
      </c>
      <c r="BE327" s="102" t="s">
        <v>87</v>
      </c>
      <c r="BF327" s="102" t="s">
        <v>85</v>
      </c>
      <c r="BG327" s="102" t="s">
        <v>86</v>
      </c>
      <c r="BH327" s="26"/>
      <c r="BI327" s="26"/>
      <c r="BJ327" s="26"/>
      <c r="BK327" s="26"/>
      <c r="BL327" s="26"/>
      <c r="BM327" s="26"/>
      <c r="BN327" s="102" t="s">
        <v>88</v>
      </c>
      <c r="BO327" s="102" t="s">
        <v>83</v>
      </c>
      <c r="BP327" s="102" t="s">
        <v>84</v>
      </c>
      <c r="BQ327" s="102" t="s">
        <v>87</v>
      </c>
      <c r="BR327" s="102" t="s">
        <v>85</v>
      </c>
      <c r="BS327" s="102" t="s">
        <v>86</v>
      </c>
      <c r="BT327" s="26"/>
      <c r="BU327" s="26"/>
      <c r="BV327" s="26"/>
      <c r="BW327" s="26"/>
      <c r="BX327" s="26"/>
      <c r="BY327" s="26"/>
      <c r="BZ327" s="102" t="s">
        <v>88</v>
      </c>
      <c r="CA327" s="102" t="s">
        <v>83</v>
      </c>
      <c r="CB327" s="102" t="s">
        <v>84</v>
      </c>
      <c r="CC327" s="102" t="s">
        <v>87</v>
      </c>
      <c r="CD327" s="102" t="s">
        <v>85</v>
      </c>
      <c r="CE327" s="102" t="s">
        <v>86</v>
      </c>
      <c r="CF327" s="159" t="s">
        <v>512</v>
      </c>
      <c r="CG327" s="159" t="s">
        <v>514</v>
      </c>
      <c r="CH327" s="159" t="s">
        <v>513</v>
      </c>
      <c r="CI327" s="102" t="s">
        <v>516</v>
      </c>
      <c r="CJ327" s="102" t="s">
        <v>517</v>
      </c>
      <c r="CK327" s="102" t="s">
        <v>518</v>
      </c>
    </row>
    <row r="328" spans="5:89" x14ac:dyDescent="0.2">
      <c r="E328" s="1" t="s">
        <v>685</v>
      </c>
      <c r="F328" s="677"/>
      <c r="G328" s="468"/>
      <c r="H328" s="469"/>
      <c r="I328" s="467"/>
      <c r="J328" s="468"/>
      <c r="K328" s="469"/>
      <c r="L328" s="467"/>
      <c r="M328" s="468"/>
      <c r="N328" s="468"/>
      <c r="O328" s="467"/>
      <c r="P328" s="468"/>
      <c r="Q328" s="683"/>
      <c r="R328" s="293">
        <v>6</v>
      </c>
      <c r="S328" s="306">
        <v>21</v>
      </c>
      <c r="T328" s="301">
        <v>-94</v>
      </c>
      <c r="U328" s="467"/>
      <c r="V328" s="468"/>
      <c r="W328" s="469"/>
      <c r="X328" s="467"/>
      <c r="Y328" s="468"/>
      <c r="Z328" s="468"/>
      <c r="AA328" s="467"/>
      <c r="AB328" s="468"/>
      <c r="AC328" s="469"/>
      <c r="AD328" s="467"/>
      <c r="AE328" s="468"/>
      <c r="AF328" s="469"/>
      <c r="AG328" s="467"/>
      <c r="AH328" s="468"/>
      <c r="AI328" s="469"/>
      <c r="AJ328" s="467"/>
      <c r="AK328" s="468"/>
      <c r="AL328" s="468"/>
      <c r="AM328" s="467"/>
      <c r="AN328" s="468"/>
      <c r="AO328" s="469"/>
      <c r="AP328" s="414">
        <v>7.2</v>
      </c>
      <c r="AQ328" s="306">
        <v>21</v>
      </c>
      <c r="AR328" s="306">
        <v>-94</v>
      </c>
      <c r="AS328" s="414">
        <v>15</v>
      </c>
      <c r="AT328" s="306">
        <v>21</v>
      </c>
      <c r="AU328" s="306">
        <v>-91</v>
      </c>
      <c r="AV328" s="467"/>
      <c r="AW328" s="468"/>
      <c r="AX328" s="468"/>
      <c r="AY328" s="467"/>
      <c r="AZ328" s="468"/>
      <c r="BA328" s="469"/>
      <c r="BB328" s="467"/>
      <c r="BC328" s="468"/>
      <c r="BD328" s="468"/>
      <c r="BE328" s="467"/>
      <c r="BF328" s="468"/>
      <c r="BG328" s="469"/>
      <c r="BH328" s="467"/>
      <c r="BI328" s="468"/>
      <c r="BJ328" s="468"/>
      <c r="BK328" s="467"/>
      <c r="BL328" s="468"/>
      <c r="BM328" s="469"/>
      <c r="BN328" s="467"/>
      <c r="BO328" s="468"/>
      <c r="BP328" s="468"/>
      <c r="BQ328" s="467"/>
      <c r="BR328" s="468"/>
      <c r="BS328" s="469"/>
      <c r="BT328" s="467"/>
      <c r="BU328" s="468"/>
      <c r="BV328" s="468"/>
      <c r="BW328" s="467"/>
      <c r="BX328" s="468"/>
      <c r="BY328" s="469"/>
      <c r="BZ328" s="414">
        <v>7.2</v>
      </c>
      <c r="CA328" s="306">
        <v>21</v>
      </c>
      <c r="CB328" s="306">
        <v>-94</v>
      </c>
      <c r="CC328" s="414">
        <v>15</v>
      </c>
      <c r="CD328" s="306">
        <v>21</v>
      </c>
      <c r="CE328" s="306">
        <v>-91</v>
      </c>
      <c r="CF328" s="293">
        <v>32.5</v>
      </c>
      <c r="CG328" s="306">
        <v>20</v>
      </c>
      <c r="CH328" s="307">
        <v>-88</v>
      </c>
      <c r="CI328" s="467"/>
      <c r="CJ328" s="468"/>
      <c r="CK328" s="469"/>
    </row>
    <row r="329" spans="5:89" x14ac:dyDescent="0.2">
      <c r="E329" s="458" t="s">
        <v>686</v>
      </c>
      <c r="F329" s="678"/>
      <c r="G329" s="471"/>
      <c r="H329" s="472"/>
      <c r="I329" s="470"/>
      <c r="J329" s="471"/>
      <c r="K329" s="472"/>
      <c r="L329" s="470"/>
      <c r="M329" s="471"/>
      <c r="N329" s="471"/>
      <c r="O329" s="470"/>
      <c r="P329" s="471"/>
      <c r="Q329" s="684"/>
      <c r="R329" s="297">
        <v>9</v>
      </c>
      <c r="S329" s="24">
        <v>21</v>
      </c>
      <c r="T329" s="31">
        <v>-93</v>
      </c>
      <c r="U329" s="470"/>
      <c r="V329" s="471"/>
      <c r="W329" s="472"/>
      <c r="X329" s="470"/>
      <c r="Y329" s="471"/>
      <c r="Z329" s="471"/>
      <c r="AA329" s="470"/>
      <c r="AB329" s="471"/>
      <c r="AC329" s="472"/>
      <c r="AD329" s="470"/>
      <c r="AE329" s="471"/>
      <c r="AF329" s="472"/>
      <c r="AG329" s="470"/>
      <c r="AH329" s="471"/>
      <c r="AI329" s="472"/>
      <c r="AJ329" s="470"/>
      <c r="AK329" s="471"/>
      <c r="AL329" s="471"/>
      <c r="AM329" s="470"/>
      <c r="AN329" s="471"/>
      <c r="AO329" s="472"/>
      <c r="AP329" s="39">
        <v>14.4</v>
      </c>
      <c r="AQ329" s="24">
        <v>21</v>
      </c>
      <c r="AR329" s="24">
        <v>-91</v>
      </c>
      <c r="AS329" s="39">
        <v>30</v>
      </c>
      <c r="AT329" s="24">
        <v>21</v>
      </c>
      <c r="AU329" s="24">
        <v>-88</v>
      </c>
      <c r="AV329" s="470"/>
      <c r="AW329" s="471"/>
      <c r="AX329" s="471"/>
      <c r="AY329" s="470"/>
      <c r="AZ329" s="471"/>
      <c r="BA329" s="472"/>
      <c r="BB329" s="470"/>
      <c r="BC329" s="471"/>
      <c r="BD329" s="471"/>
      <c r="BE329" s="470"/>
      <c r="BF329" s="471"/>
      <c r="BG329" s="472"/>
      <c r="BH329" s="470"/>
      <c r="BI329" s="471"/>
      <c r="BJ329" s="471"/>
      <c r="BK329" s="470"/>
      <c r="BL329" s="471"/>
      <c r="BM329" s="472"/>
      <c r="BN329" s="470"/>
      <c r="BO329" s="471"/>
      <c r="BP329" s="471"/>
      <c r="BQ329" s="470"/>
      <c r="BR329" s="471"/>
      <c r="BS329" s="472"/>
      <c r="BT329" s="470"/>
      <c r="BU329" s="471"/>
      <c r="BV329" s="471"/>
      <c r="BW329" s="470"/>
      <c r="BX329" s="471"/>
      <c r="BY329" s="472"/>
      <c r="BZ329" s="39">
        <v>14.4</v>
      </c>
      <c r="CA329" s="24">
        <v>21</v>
      </c>
      <c r="CB329" s="24">
        <v>-91</v>
      </c>
      <c r="CC329" s="39">
        <v>30</v>
      </c>
      <c r="CD329" s="24">
        <v>21</v>
      </c>
      <c r="CE329" s="24">
        <v>-88</v>
      </c>
      <c r="CF329" s="297">
        <v>65</v>
      </c>
      <c r="CG329" s="24">
        <v>20</v>
      </c>
      <c r="CH329" s="308">
        <v>-85</v>
      </c>
      <c r="CI329" s="470"/>
      <c r="CJ329" s="471"/>
      <c r="CK329" s="472"/>
    </row>
    <row r="330" spans="5:89" x14ac:dyDescent="0.2">
      <c r="F330" s="678"/>
      <c r="G330" s="471"/>
      <c r="H330" s="472"/>
      <c r="I330" s="470"/>
      <c r="J330" s="471"/>
      <c r="K330" s="472"/>
      <c r="L330" s="470"/>
      <c r="M330" s="471"/>
      <c r="N330" s="471"/>
      <c r="O330" s="470"/>
      <c r="P330" s="471"/>
      <c r="Q330" s="684"/>
      <c r="R330" s="297">
        <v>12</v>
      </c>
      <c r="S330" s="24">
        <v>21</v>
      </c>
      <c r="T330" s="31">
        <v>-92</v>
      </c>
      <c r="U330" s="470"/>
      <c r="V330" s="471"/>
      <c r="W330" s="472"/>
      <c r="X330" s="470"/>
      <c r="Y330" s="471"/>
      <c r="Z330" s="471"/>
      <c r="AA330" s="470"/>
      <c r="AB330" s="471"/>
      <c r="AC330" s="472"/>
      <c r="AD330" s="470"/>
      <c r="AE330" s="471"/>
      <c r="AF330" s="472"/>
      <c r="AG330" s="470"/>
      <c r="AH330" s="471"/>
      <c r="AI330" s="472"/>
      <c r="AJ330" s="470"/>
      <c r="AK330" s="471"/>
      <c r="AL330" s="471"/>
      <c r="AM330" s="470"/>
      <c r="AN330" s="471"/>
      <c r="AO330" s="472"/>
      <c r="AP330" s="39">
        <v>21.7</v>
      </c>
      <c r="AQ330" s="24">
        <v>21</v>
      </c>
      <c r="AR330" s="24">
        <v>-90</v>
      </c>
      <c r="AS330" s="39">
        <v>45</v>
      </c>
      <c r="AT330" s="24">
        <v>21</v>
      </c>
      <c r="AU330" s="24">
        <v>-85</v>
      </c>
      <c r="AV330" s="470"/>
      <c r="AW330" s="471"/>
      <c r="AX330" s="471"/>
      <c r="AY330" s="470"/>
      <c r="AZ330" s="471"/>
      <c r="BA330" s="472"/>
      <c r="BB330" s="470"/>
      <c r="BC330" s="471"/>
      <c r="BD330" s="471"/>
      <c r="BE330" s="470"/>
      <c r="BF330" s="471"/>
      <c r="BG330" s="472"/>
      <c r="BH330" s="470"/>
      <c r="BI330" s="471"/>
      <c r="BJ330" s="471"/>
      <c r="BK330" s="470"/>
      <c r="BL330" s="471"/>
      <c r="BM330" s="472"/>
      <c r="BN330" s="470"/>
      <c r="BO330" s="471"/>
      <c r="BP330" s="471"/>
      <c r="BQ330" s="470"/>
      <c r="BR330" s="471"/>
      <c r="BS330" s="472"/>
      <c r="BT330" s="470"/>
      <c r="BU330" s="471"/>
      <c r="BV330" s="471"/>
      <c r="BW330" s="470"/>
      <c r="BX330" s="471"/>
      <c r="BY330" s="472"/>
      <c r="BZ330" s="39">
        <v>21.7</v>
      </c>
      <c r="CA330" s="24">
        <v>21</v>
      </c>
      <c r="CB330" s="24">
        <v>-90</v>
      </c>
      <c r="CC330" s="39">
        <v>45</v>
      </c>
      <c r="CD330" s="24">
        <v>21</v>
      </c>
      <c r="CE330" s="24">
        <v>-85</v>
      </c>
      <c r="CF330" s="297">
        <v>97.5</v>
      </c>
      <c r="CG330" s="24">
        <v>20</v>
      </c>
      <c r="CH330" s="308">
        <v>-83</v>
      </c>
      <c r="CI330" s="470"/>
      <c r="CJ330" s="471"/>
      <c r="CK330" s="472"/>
    </row>
    <row r="331" spans="5:89" x14ac:dyDescent="0.2">
      <c r="F331" s="678"/>
      <c r="G331" s="471"/>
      <c r="H331" s="472"/>
      <c r="I331" s="470"/>
      <c r="J331" s="471"/>
      <c r="K331" s="472"/>
      <c r="L331" s="470"/>
      <c r="M331" s="471"/>
      <c r="N331" s="471"/>
      <c r="O331" s="470"/>
      <c r="P331" s="471"/>
      <c r="Q331" s="684"/>
      <c r="R331" s="297">
        <v>18</v>
      </c>
      <c r="S331" s="24">
        <v>21</v>
      </c>
      <c r="T331" s="31">
        <v>-89</v>
      </c>
      <c r="U331" s="470"/>
      <c r="V331" s="471"/>
      <c r="W331" s="472"/>
      <c r="X331" s="470"/>
      <c r="Y331" s="471"/>
      <c r="Z331" s="471"/>
      <c r="AA331" s="470"/>
      <c r="AB331" s="471"/>
      <c r="AC331" s="472"/>
      <c r="AD331" s="470"/>
      <c r="AE331" s="471"/>
      <c r="AF331" s="472"/>
      <c r="AG331" s="470"/>
      <c r="AH331" s="471"/>
      <c r="AI331" s="472"/>
      <c r="AJ331" s="470"/>
      <c r="AK331" s="471"/>
      <c r="AL331" s="471"/>
      <c r="AM331" s="470"/>
      <c r="AN331" s="471"/>
      <c r="AO331" s="472"/>
      <c r="AP331" s="39">
        <v>28.9</v>
      </c>
      <c r="AQ331" s="24">
        <v>20</v>
      </c>
      <c r="AR331" s="24">
        <v>-86</v>
      </c>
      <c r="AS331" s="39">
        <v>60</v>
      </c>
      <c r="AT331" s="24">
        <v>20</v>
      </c>
      <c r="AU331" s="24">
        <v>-82</v>
      </c>
      <c r="AV331" s="470"/>
      <c r="AW331" s="471"/>
      <c r="AX331" s="471"/>
      <c r="AY331" s="470"/>
      <c r="AZ331" s="471"/>
      <c r="BA331" s="472"/>
      <c r="BB331" s="470"/>
      <c r="BC331" s="471"/>
      <c r="BD331" s="471"/>
      <c r="BE331" s="470"/>
      <c r="BF331" s="471"/>
      <c r="BG331" s="472"/>
      <c r="BH331" s="470"/>
      <c r="BI331" s="471"/>
      <c r="BJ331" s="471"/>
      <c r="BK331" s="470"/>
      <c r="BL331" s="471"/>
      <c r="BM331" s="472"/>
      <c r="BN331" s="470"/>
      <c r="BO331" s="471"/>
      <c r="BP331" s="471"/>
      <c r="BQ331" s="470"/>
      <c r="BR331" s="471"/>
      <c r="BS331" s="472"/>
      <c r="BT331" s="470"/>
      <c r="BU331" s="471"/>
      <c r="BV331" s="471"/>
      <c r="BW331" s="470"/>
      <c r="BX331" s="471"/>
      <c r="BY331" s="472"/>
      <c r="BZ331" s="39">
        <v>28.9</v>
      </c>
      <c r="CA331" s="24">
        <v>20</v>
      </c>
      <c r="CB331" s="24">
        <v>-86</v>
      </c>
      <c r="CC331" s="39">
        <v>60</v>
      </c>
      <c r="CD331" s="24">
        <v>20</v>
      </c>
      <c r="CE331" s="24">
        <v>-82</v>
      </c>
      <c r="CF331" s="297">
        <v>130</v>
      </c>
      <c r="CG331" s="24">
        <v>20</v>
      </c>
      <c r="CH331" s="308">
        <v>-79</v>
      </c>
      <c r="CI331" s="470"/>
      <c r="CJ331" s="471"/>
      <c r="CK331" s="472"/>
    </row>
    <row r="332" spans="5:89" x14ac:dyDescent="0.2">
      <c r="F332" s="678"/>
      <c r="G332" s="471"/>
      <c r="H332" s="472"/>
      <c r="I332" s="470"/>
      <c r="J332" s="471"/>
      <c r="K332" s="472"/>
      <c r="L332" s="470"/>
      <c r="M332" s="471"/>
      <c r="N332" s="471"/>
      <c r="O332" s="470"/>
      <c r="P332" s="471"/>
      <c r="Q332" s="684"/>
      <c r="R332" s="297">
        <v>26</v>
      </c>
      <c r="S332" s="24">
        <v>20</v>
      </c>
      <c r="T332" s="31">
        <v>-86</v>
      </c>
      <c r="U332" s="470"/>
      <c r="V332" s="471"/>
      <c r="W332" s="472"/>
      <c r="X332" s="470"/>
      <c r="Y332" s="471"/>
      <c r="Z332" s="471"/>
      <c r="AA332" s="470"/>
      <c r="AB332" s="471"/>
      <c r="AC332" s="472"/>
      <c r="AD332" s="470"/>
      <c r="AE332" s="471"/>
      <c r="AF332" s="472"/>
      <c r="AG332" s="470"/>
      <c r="AH332" s="471"/>
      <c r="AI332" s="472"/>
      <c r="AJ332" s="470"/>
      <c r="AK332" s="471"/>
      <c r="AL332" s="471"/>
      <c r="AM332" s="470"/>
      <c r="AN332" s="471"/>
      <c r="AO332" s="472"/>
      <c r="AP332" s="39">
        <v>43.3</v>
      </c>
      <c r="AQ332" s="24">
        <v>19</v>
      </c>
      <c r="AR332" s="24">
        <v>-83</v>
      </c>
      <c r="AS332" s="39">
        <v>90</v>
      </c>
      <c r="AT332" s="24">
        <v>19</v>
      </c>
      <c r="AU332" s="24">
        <v>-79</v>
      </c>
      <c r="AV332" s="470"/>
      <c r="AW332" s="471"/>
      <c r="AX332" s="471"/>
      <c r="AY332" s="470"/>
      <c r="AZ332" s="471"/>
      <c r="BA332" s="472"/>
      <c r="BB332" s="470"/>
      <c r="BC332" s="471"/>
      <c r="BD332" s="471"/>
      <c r="BE332" s="470"/>
      <c r="BF332" s="471"/>
      <c r="BG332" s="472"/>
      <c r="BH332" s="470"/>
      <c r="BI332" s="471"/>
      <c r="BJ332" s="471"/>
      <c r="BK332" s="470"/>
      <c r="BL332" s="471"/>
      <c r="BM332" s="472"/>
      <c r="BN332" s="470"/>
      <c r="BO332" s="471"/>
      <c r="BP332" s="471"/>
      <c r="BQ332" s="470"/>
      <c r="BR332" s="471"/>
      <c r="BS332" s="472"/>
      <c r="BT332" s="470"/>
      <c r="BU332" s="471"/>
      <c r="BV332" s="471"/>
      <c r="BW332" s="470"/>
      <c r="BX332" s="471"/>
      <c r="BY332" s="472"/>
      <c r="BZ332" s="39">
        <v>43.3</v>
      </c>
      <c r="CA332" s="24">
        <v>19</v>
      </c>
      <c r="CB332" s="24">
        <v>-83</v>
      </c>
      <c r="CC332" s="39">
        <v>90</v>
      </c>
      <c r="CD332" s="24">
        <v>19</v>
      </c>
      <c r="CE332" s="24">
        <v>-79</v>
      </c>
      <c r="CF332" s="297">
        <v>195</v>
      </c>
      <c r="CG332" s="24">
        <v>19</v>
      </c>
      <c r="CH332" s="308">
        <v>-76</v>
      </c>
      <c r="CI332" s="470"/>
      <c r="CJ332" s="471"/>
      <c r="CK332" s="472"/>
    </row>
    <row r="333" spans="5:89" x14ac:dyDescent="0.2">
      <c r="F333" s="678"/>
      <c r="G333" s="471"/>
      <c r="H333" s="472"/>
      <c r="I333" s="470"/>
      <c r="J333" s="471"/>
      <c r="K333" s="472"/>
      <c r="L333" s="470"/>
      <c r="M333" s="471"/>
      <c r="N333" s="471"/>
      <c r="O333" s="470"/>
      <c r="P333" s="471"/>
      <c r="Q333" s="684"/>
      <c r="R333" s="297">
        <v>36</v>
      </c>
      <c r="S333" s="24">
        <v>19</v>
      </c>
      <c r="T333" s="31">
        <v>-84</v>
      </c>
      <c r="U333" s="470"/>
      <c r="V333" s="471"/>
      <c r="W333" s="472"/>
      <c r="X333" s="470"/>
      <c r="Y333" s="471"/>
      <c r="Z333" s="471"/>
      <c r="AA333" s="470"/>
      <c r="AB333" s="471"/>
      <c r="AC333" s="472"/>
      <c r="AD333" s="470"/>
      <c r="AE333" s="471"/>
      <c r="AF333" s="472"/>
      <c r="AG333" s="470"/>
      <c r="AH333" s="471"/>
      <c r="AI333" s="472"/>
      <c r="AJ333" s="470"/>
      <c r="AK333" s="471"/>
      <c r="AL333" s="471"/>
      <c r="AM333" s="470"/>
      <c r="AN333" s="471"/>
      <c r="AO333" s="472"/>
      <c r="AP333" s="39">
        <v>57.8</v>
      </c>
      <c r="AQ333" s="24">
        <v>18</v>
      </c>
      <c r="AR333" s="24">
        <v>-80</v>
      </c>
      <c r="AS333" s="39">
        <v>120</v>
      </c>
      <c r="AT333" s="24">
        <v>18</v>
      </c>
      <c r="AU333" s="24">
        <v>-75</v>
      </c>
      <c r="AV333" s="470"/>
      <c r="AW333" s="471"/>
      <c r="AX333" s="471"/>
      <c r="AY333" s="470"/>
      <c r="AZ333" s="471"/>
      <c r="BA333" s="472"/>
      <c r="BB333" s="470"/>
      <c r="BC333" s="471"/>
      <c r="BD333" s="471"/>
      <c r="BE333" s="470"/>
      <c r="BF333" s="471"/>
      <c r="BG333" s="472"/>
      <c r="BH333" s="470"/>
      <c r="BI333" s="471"/>
      <c r="BJ333" s="471"/>
      <c r="BK333" s="470"/>
      <c r="BL333" s="471"/>
      <c r="BM333" s="472"/>
      <c r="BN333" s="470"/>
      <c r="BO333" s="471"/>
      <c r="BP333" s="471"/>
      <c r="BQ333" s="470"/>
      <c r="BR333" s="471"/>
      <c r="BS333" s="472"/>
      <c r="BT333" s="470"/>
      <c r="BU333" s="471"/>
      <c r="BV333" s="471"/>
      <c r="BW333" s="470"/>
      <c r="BX333" s="471"/>
      <c r="BY333" s="472"/>
      <c r="BZ333" s="39">
        <v>57.8</v>
      </c>
      <c r="CA333" s="24">
        <v>18</v>
      </c>
      <c r="CB333" s="24">
        <v>-80</v>
      </c>
      <c r="CC333" s="39">
        <v>120</v>
      </c>
      <c r="CD333" s="24">
        <v>18</v>
      </c>
      <c r="CE333" s="24">
        <v>-75</v>
      </c>
      <c r="CF333" s="297">
        <v>260</v>
      </c>
      <c r="CG333" s="24">
        <v>18</v>
      </c>
      <c r="CH333" s="308">
        <v>-71</v>
      </c>
      <c r="CI333" s="470"/>
      <c r="CJ333" s="471"/>
      <c r="CK333" s="472"/>
    </row>
    <row r="334" spans="5:89" x14ac:dyDescent="0.2">
      <c r="F334" s="678"/>
      <c r="G334" s="471"/>
      <c r="H334" s="472"/>
      <c r="I334" s="470"/>
      <c r="J334" s="471"/>
      <c r="K334" s="472"/>
      <c r="L334" s="470"/>
      <c r="M334" s="471"/>
      <c r="N334" s="471"/>
      <c r="O334" s="470"/>
      <c r="P334" s="471"/>
      <c r="Q334" s="684"/>
      <c r="R334" s="297">
        <v>48</v>
      </c>
      <c r="S334" s="24">
        <v>18</v>
      </c>
      <c r="T334" s="31">
        <v>-79</v>
      </c>
      <c r="U334" s="470"/>
      <c r="V334" s="471"/>
      <c r="W334" s="472"/>
      <c r="X334" s="470"/>
      <c r="Y334" s="471"/>
      <c r="Z334" s="471"/>
      <c r="AA334" s="470"/>
      <c r="AB334" s="471"/>
      <c r="AC334" s="472"/>
      <c r="AD334" s="470"/>
      <c r="AE334" s="471"/>
      <c r="AF334" s="472"/>
      <c r="AG334" s="470"/>
      <c r="AH334" s="471"/>
      <c r="AI334" s="472"/>
      <c r="AJ334" s="470"/>
      <c r="AK334" s="471"/>
      <c r="AL334" s="471"/>
      <c r="AM334" s="470"/>
      <c r="AN334" s="471"/>
      <c r="AO334" s="472"/>
      <c r="AP334" s="39">
        <v>65</v>
      </c>
      <c r="AQ334" s="24">
        <v>17</v>
      </c>
      <c r="AR334" s="24">
        <v>-77</v>
      </c>
      <c r="AS334" s="39">
        <v>135</v>
      </c>
      <c r="AT334" s="24">
        <v>17</v>
      </c>
      <c r="AU334" s="24">
        <v>-73</v>
      </c>
      <c r="AV334" s="470"/>
      <c r="AW334" s="471"/>
      <c r="AX334" s="471"/>
      <c r="AY334" s="470"/>
      <c r="AZ334" s="471"/>
      <c r="BA334" s="472"/>
      <c r="BB334" s="470"/>
      <c r="BC334" s="471"/>
      <c r="BD334" s="471"/>
      <c r="BE334" s="470"/>
      <c r="BF334" s="471"/>
      <c r="BG334" s="472"/>
      <c r="BH334" s="470"/>
      <c r="BI334" s="471"/>
      <c r="BJ334" s="471"/>
      <c r="BK334" s="470"/>
      <c r="BL334" s="471"/>
      <c r="BM334" s="472"/>
      <c r="BN334" s="470"/>
      <c r="BO334" s="471"/>
      <c r="BP334" s="471"/>
      <c r="BQ334" s="470"/>
      <c r="BR334" s="471"/>
      <c r="BS334" s="472"/>
      <c r="BT334" s="470"/>
      <c r="BU334" s="471"/>
      <c r="BV334" s="471"/>
      <c r="BW334" s="470"/>
      <c r="BX334" s="471"/>
      <c r="BY334" s="472"/>
      <c r="BZ334" s="39">
        <v>65</v>
      </c>
      <c r="CA334" s="24">
        <v>17</v>
      </c>
      <c r="CB334" s="24">
        <v>-77</v>
      </c>
      <c r="CC334" s="39">
        <v>135</v>
      </c>
      <c r="CD334" s="24">
        <v>18</v>
      </c>
      <c r="CE334" s="24">
        <v>-73</v>
      </c>
      <c r="CF334" s="297">
        <v>292.5</v>
      </c>
      <c r="CG334" s="24">
        <v>18</v>
      </c>
      <c r="CH334" s="308">
        <v>-69</v>
      </c>
      <c r="CI334" s="470"/>
      <c r="CJ334" s="471"/>
      <c r="CK334" s="472"/>
    </row>
    <row r="335" spans="5:89" x14ac:dyDescent="0.2">
      <c r="F335" s="678"/>
      <c r="G335" s="471"/>
      <c r="H335" s="472"/>
      <c r="I335" s="470"/>
      <c r="J335" s="471"/>
      <c r="K335" s="472"/>
      <c r="L335" s="470"/>
      <c r="M335" s="471"/>
      <c r="N335" s="471"/>
      <c r="O335" s="470"/>
      <c r="P335" s="471"/>
      <c r="Q335" s="684"/>
      <c r="R335" s="297">
        <v>54</v>
      </c>
      <c r="S335" s="24">
        <v>17</v>
      </c>
      <c r="T335" s="31">
        <v>-77</v>
      </c>
      <c r="U335" s="470"/>
      <c r="V335" s="471"/>
      <c r="W335" s="472"/>
      <c r="X335" s="470"/>
      <c r="Y335" s="471"/>
      <c r="Z335" s="471"/>
      <c r="AA335" s="470"/>
      <c r="AB335" s="471"/>
      <c r="AC335" s="472"/>
      <c r="AD335" s="470"/>
      <c r="AE335" s="471"/>
      <c r="AF335" s="472"/>
      <c r="AG335" s="470"/>
      <c r="AH335" s="471"/>
      <c r="AI335" s="472"/>
      <c r="AJ335" s="470"/>
      <c r="AK335" s="471"/>
      <c r="AL335" s="471"/>
      <c r="AM335" s="470"/>
      <c r="AN335" s="471"/>
      <c r="AO335" s="472"/>
      <c r="AP335" s="39">
        <v>72.2</v>
      </c>
      <c r="AQ335" s="24">
        <v>16</v>
      </c>
      <c r="AR335" s="24">
        <v>-75</v>
      </c>
      <c r="AS335" s="39">
        <v>150</v>
      </c>
      <c r="AT335" s="24">
        <v>16</v>
      </c>
      <c r="AU335" s="24">
        <v>-72</v>
      </c>
      <c r="AV335" s="470"/>
      <c r="AW335" s="471"/>
      <c r="AX335" s="471"/>
      <c r="AY335" s="470"/>
      <c r="AZ335" s="471"/>
      <c r="BA335" s="472"/>
      <c r="BB335" s="470"/>
      <c r="BC335" s="471"/>
      <c r="BD335" s="471"/>
      <c r="BE335" s="470"/>
      <c r="BF335" s="471"/>
      <c r="BG335" s="472"/>
      <c r="BH335" s="470"/>
      <c r="BI335" s="471"/>
      <c r="BJ335" s="471"/>
      <c r="BK335" s="470"/>
      <c r="BL335" s="471"/>
      <c r="BM335" s="472"/>
      <c r="BN335" s="470"/>
      <c r="BO335" s="471"/>
      <c r="BP335" s="471"/>
      <c r="BQ335" s="470"/>
      <c r="BR335" s="471"/>
      <c r="BS335" s="472"/>
      <c r="BT335" s="470"/>
      <c r="BU335" s="471"/>
      <c r="BV335" s="471"/>
      <c r="BW335" s="470"/>
      <c r="BX335" s="471"/>
      <c r="BY335" s="472"/>
      <c r="BZ335" s="39">
        <v>72.2</v>
      </c>
      <c r="CA335" s="24">
        <v>16</v>
      </c>
      <c r="CB335" s="24">
        <v>-75</v>
      </c>
      <c r="CC335" s="39">
        <v>150</v>
      </c>
      <c r="CD335" s="24">
        <v>17</v>
      </c>
      <c r="CE335" s="24">
        <v>-72</v>
      </c>
      <c r="CF335" s="297">
        <v>325</v>
      </c>
      <c r="CG335" s="24">
        <v>17</v>
      </c>
      <c r="CH335" s="308">
        <v>-69</v>
      </c>
      <c r="CI335" s="470"/>
      <c r="CJ335" s="471"/>
      <c r="CK335" s="472"/>
    </row>
    <row r="336" spans="5:89" x14ac:dyDescent="0.2">
      <c r="F336" s="678"/>
      <c r="G336" s="471"/>
      <c r="H336" s="472"/>
      <c r="I336" s="470"/>
      <c r="J336" s="471"/>
      <c r="K336" s="472"/>
      <c r="L336" s="470"/>
      <c r="M336" s="471"/>
      <c r="N336" s="471"/>
      <c r="O336" s="470"/>
      <c r="P336" s="471"/>
      <c r="Q336" s="684"/>
      <c r="R336" s="52"/>
      <c r="S336" s="2"/>
      <c r="T336" s="2"/>
      <c r="U336" s="470"/>
      <c r="V336" s="471"/>
      <c r="W336" s="472"/>
      <c r="X336" s="470"/>
      <c r="Y336" s="471"/>
      <c r="Z336" s="471"/>
      <c r="AA336" s="470"/>
      <c r="AB336" s="471"/>
      <c r="AC336" s="472"/>
      <c r="AD336" s="470"/>
      <c r="AE336" s="471"/>
      <c r="AF336" s="472"/>
      <c r="AG336" s="470"/>
      <c r="AH336" s="471"/>
      <c r="AI336" s="472"/>
      <c r="AJ336" s="470"/>
      <c r="AK336" s="471"/>
      <c r="AL336" s="471"/>
      <c r="AM336" s="470"/>
      <c r="AN336" s="471"/>
      <c r="AO336" s="472"/>
      <c r="AP336" s="39"/>
      <c r="AQ336" s="24"/>
      <c r="AR336" s="24"/>
      <c r="AS336" s="39"/>
      <c r="AT336" s="24"/>
      <c r="AU336" s="24"/>
      <c r="AV336" s="470"/>
      <c r="AW336" s="471"/>
      <c r="AX336" s="471"/>
      <c r="AY336" s="470"/>
      <c r="AZ336" s="471"/>
      <c r="BA336" s="472"/>
      <c r="BB336" s="470"/>
      <c r="BC336" s="471"/>
      <c r="BD336" s="471"/>
      <c r="BE336" s="470"/>
      <c r="BF336" s="471"/>
      <c r="BG336" s="472"/>
      <c r="BH336" s="470"/>
      <c r="BI336" s="471"/>
      <c r="BJ336" s="471"/>
      <c r="BK336" s="470"/>
      <c r="BL336" s="471"/>
      <c r="BM336" s="472"/>
      <c r="BN336" s="470"/>
      <c r="BO336" s="471"/>
      <c r="BP336" s="471"/>
      <c r="BQ336" s="470"/>
      <c r="BR336" s="471"/>
      <c r="BS336" s="472"/>
      <c r="BT336" s="470"/>
      <c r="BU336" s="471"/>
      <c r="BV336" s="471"/>
      <c r="BW336" s="470"/>
      <c r="BX336" s="471"/>
      <c r="BY336" s="472"/>
      <c r="BZ336" s="39">
        <v>86.7</v>
      </c>
      <c r="CA336" s="24">
        <v>15</v>
      </c>
      <c r="CB336" s="24">
        <v>-71</v>
      </c>
      <c r="CC336" s="39">
        <v>180</v>
      </c>
      <c r="CD336" s="24">
        <v>16</v>
      </c>
      <c r="CE336" s="24">
        <v>-69</v>
      </c>
      <c r="CF336" s="297">
        <v>390</v>
      </c>
      <c r="CG336" s="24">
        <v>16</v>
      </c>
      <c r="CH336" s="308">
        <v>-65</v>
      </c>
      <c r="CI336" s="470"/>
      <c r="CJ336" s="471"/>
      <c r="CK336" s="472"/>
    </row>
    <row r="337" spans="6:89" x14ac:dyDescent="0.2">
      <c r="F337" s="678"/>
      <c r="G337" s="471"/>
      <c r="H337" s="472"/>
      <c r="I337" s="470"/>
      <c r="J337" s="471"/>
      <c r="K337" s="472"/>
      <c r="L337" s="470"/>
      <c r="M337" s="471"/>
      <c r="N337" s="471"/>
      <c r="O337" s="470"/>
      <c r="P337" s="471"/>
      <c r="Q337" s="684"/>
      <c r="R337" s="52"/>
      <c r="S337" s="31"/>
      <c r="T337" s="31"/>
      <c r="U337" s="470"/>
      <c r="V337" s="471"/>
      <c r="W337" s="472"/>
      <c r="X337" s="470"/>
      <c r="Y337" s="471"/>
      <c r="Z337" s="471"/>
      <c r="AA337" s="470"/>
      <c r="AB337" s="471"/>
      <c r="AC337" s="472"/>
      <c r="AD337" s="470"/>
      <c r="AE337" s="471"/>
      <c r="AF337" s="472"/>
      <c r="AG337" s="470"/>
      <c r="AH337" s="471"/>
      <c r="AI337" s="472"/>
      <c r="AJ337" s="470"/>
      <c r="AK337" s="471"/>
      <c r="AL337" s="471"/>
      <c r="AM337" s="470"/>
      <c r="AN337" s="471"/>
      <c r="AO337" s="472"/>
      <c r="AP337" s="39"/>
      <c r="AQ337" s="24"/>
      <c r="AR337" s="24"/>
      <c r="AS337" s="39"/>
      <c r="AT337" s="24"/>
      <c r="AU337" s="24"/>
      <c r="AV337" s="470"/>
      <c r="AW337" s="471"/>
      <c r="AX337" s="471"/>
      <c r="AY337" s="470"/>
      <c r="AZ337" s="471"/>
      <c r="BA337" s="472"/>
      <c r="BB337" s="470"/>
      <c r="BC337" s="471"/>
      <c r="BD337" s="471"/>
      <c r="BE337" s="470"/>
      <c r="BF337" s="471"/>
      <c r="BG337" s="472"/>
      <c r="BH337" s="470"/>
      <c r="BI337" s="471"/>
      <c r="BJ337" s="471"/>
      <c r="BK337" s="470"/>
      <c r="BL337" s="471"/>
      <c r="BM337" s="472"/>
      <c r="BN337" s="470"/>
      <c r="BO337" s="471"/>
      <c r="BP337" s="471"/>
      <c r="BQ337" s="470"/>
      <c r="BR337" s="471"/>
      <c r="BS337" s="472"/>
      <c r="BT337" s="470"/>
      <c r="BU337" s="471"/>
      <c r="BV337" s="471"/>
      <c r="BW337" s="470"/>
      <c r="BX337" s="471"/>
      <c r="BY337" s="472"/>
      <c r="BZ337" s="39"/>
      <c r="CA337" s="24"/>
      <c r="CB337" s="24"/>
      <c r="CC337" s="39">
        <v>200</v>
      </c>
      <c r="CD337" s="24">
        <v>15</v>
      </c>
      <c r="CE337" s="24">
        <v>-66</v>
      </c>
      <c r="CF337" s="297">
        <v>433.3</v>
      </c>
      <c r="CG337" s="24">
        <v>15</v>
      </c>
      <c r="CH337" s="308">
        <v>-62</v>
      </c>
      <c r="CI337" s="470"/>
      <c r="CJ337" s="471"/>
      <c r="CK337" s="472"/>
    </row>
    <row r="338" spans="6:89" ht="10.5" thickBot="1" x14ac:dyDescent="0.25">
      <c r="F338" s="679"/>
      <c r="G338" s="474"/>
      <c r="H338" s="475"/>
      <c r="I338" s="473"/>
      <c r="J338" s="474"/>
      <c r="K338" s="475"/>
      <c r="L338" s="473"/>
      <c r="M338" s="474"/>
      <c r="N338" s="474"/>
      <c r="O338" s="473"/>
      <c r="P338" s="474"/>
      <c r="Q338" s="685"/>
      <c r="R338" s="54"/>
      <c r="S338" s="303"/>
      <c r="T338" s="303"/>
      <c r="U338" s="473"/>
      <c r="V338" s="474"/>
      <c r="W338" s="475"/>
      <c r="X338" s="473"/>
      <c r="Y338" s="474"/>
      <c r="Z338" s="474"/>
      <c r="AA338" s="473"/>
      <c r="AB338" s="474"/>
      <c r="AC338" s="475"/>
      <c r="AD338" s="473"/>
      <c r="AE338" s="474"/>
      <c r="AF338" s="475"/>
      <c r="AG338" s="473"/>
      <c r="AH338" s="474"/>
      <c r="AI338" s="475"/>
      <c r="AJ338" s="473"/>
      <c r="AK338" s="474"/>
      <c r="AL338" s="474"/>
      <c r="AM338" s="473"/>
      <c r="AN338" s="474"/>
      <c r="AO338" s="475"/>
      <c r="AP338" s="304"/>
      <c r="AQ338" s="399"/>
      <c r="AR338" s="399"/>
      <c r="AS338" s="304"/>
      <c r="AT338" s="399"/>
      <c r="AU338" s="399"/>
      <c r="AV338" s="473"/>
      <c r="AW338" s="474"/>
      <c r="AX338" s="474"/>
      <c r="AY338" s="473"/>
      <c r="AZ338" s="474"/>
      <c r="BA338" s="475"/>
      <c r="BB338" s="473"/>
      <c r="BC338" s="474"/>
      <c r="BD338" s="474"/>
      <c r="BE338" s="473"/>
      <c r="BF338" s="474"/>
      <c r="BG338" s="475"/>
      <c r="BH338" s="473"/>
      <c r="BI338" s="474"/>
      <c r="BJ338" s="474"/>
      <c r="BK338" s="473"/>
      <c r="BL338" s="474"/>
      <c r="BM338" s="475"/>
      <c r="BN338" s="473"/>
      <c r="BO338" s="474"/>
      <c r="BP338" s="474"/>
      <c r="BQ338" s="473"/>
      <c r="BR338" s="474"/>
      <c r="BS338" s="475"/>
      <c r="BT338" s="473"/>
      <c r="BU338" s="474"/>
      <c r="BV338" s="474"/>
      <c r="BW338" s="473"/>
      <c r="BX338" s="474"/>
      <c r="BY338" s="475"/>
      <c r="BZ338" s="304"/>
      <c r="CA338" s="399"/>
      <c r="CB338" s="399"/>
      <c r="CC338" s="304"/>
      <c r="CD338" s="399"/>
      <c r="CE338" s="399"/>
      <c r="CF338" s="298"/>
      <c r="CG338" s="399"/>
      <c r="CH338" s="478"/>
      <c r="CI338" s="473"/>
      <c r="CJ338" s="474"/>
      <c r="CK338" s="475"/>
    </row>
  </sheetData>
  <mergeCells count="46">
    <mergeCell ref="AD46:AG46"/>
    <mergeCell ref="AD60:AG60"/>
    <mergeCell ref="AD74:AG74"/>
    <mergeCell ref="AD88:AG88"/>
    <mergeCell ref="AM1:AO1"/>
    <mergeCell ref="R1:T1"/>
    <mergeCell ref="U1:W1"/>
    <mergeCell ref="X1:Z1"/>
    <mergeCell ref="AA1:AC1"/>
    <mergeCell ref="CI1:CK1"/>
    <mergeCell ref="BN1:BP1"/>
    <mergeCell ref="BQ1:BS1"/>
    <mergeCell ref="BT1:BV1"/>
    <mergeCell ref="BW1:BY1"/>
    <mergeCell ref="F1:H1"/>
    <mergeCell ref="I1:K1"/>
    <mergeCell ref="BZ1:CB1"/>
    <mergeCell ref="CC1:CE1"/>
    <mergeCell ref="CF1:CH1"/>
    <mergeCell ref="BB1:BD1"/>
    <mergeCell ref="BE1:BG1"/>
    <mergeCell ref="BH1:BJ1"/>
    <mergeCell ref="BK1:BM1"/>
    <mergeCell ref="AP1:AR1"/>
    <mergeCell ref="AS1:AU1"/>
    <mergeCell ref="AV1:AX1"/>
    <mergeCell ref="AY1:BA1"/>
    <mergeCell ref="AD1:AF1"/>
    <mergeCell ref="AG1:AI1"/>
    <mergeCell ref="AJ1:AL1"/>
    <mergeCell ref="AD144:AG144"/>
    <mergeCell ref="AP144:AS144"/>
    <mergeCell ref="AD4:AG4"/>
    <mergeCell ref="AP4:AS4"/>
    <mergeCell ref="AD116:AG116"/>
    <mergeCell ref="AP116:AS116"/>
    <mergeCell ref="AP18:AS18"/>
    <mergeCell ref="AP32:AS32"/>
    <mergeCell ref="AP46:AS46"/>
    <mergeCell ref="AP60:AS60"/>
    <mergeCell ref="AD102:AG102"/>
    <mergeCell ref="AP74:AS74"/>
    <mergeCell ref="AP88:AS88"/>
    <mergeCell ref="AP102:AS102"/>
    <mergeCell ref="AD18:AG18"/>
    <mergeCell ref="AD32:AG32"/>
  </mergeCells>
  <phoneticPr fontId="2" type="noConversion"/>
  <pageMargins left="0.78740157499999996" right="0.78740157499999996" top="0.984251969" bottom="0.984251969" header="0.4921259845" footer="0.4921259845"/>
  <pageSetup paperSize="9" orientation="portrait" horizontalDpi="1200" verticalDpi="1200" r:id="rId1"/>
  <headerFooter alignWithMargins="0"/>
  <ignoredErrors>
    <ignoredError sqref="B4:B12"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
  <sheetViews>
    <sheetView workbookViewId="0">
      <selection activeCell="D2" sqref="D2"/>
    </sheetView>
  </sheetViews>
  <sheetFormatPr baseColWidth="10" defaultRowHeight="12.5" x14ac:dyDescent="0.25"/>
  <cols>
    <col min="1" max="1" width="14.7265625" bestFit="1" customWidth="1"/>
    <col min="2" max="2" width="56.54296875" bestFit="1" customWidth="1"/>
    <col min="3" max="3" width="14.453125" bestFit="1" customWidth="1"/>
    <col min="4" max="4" width="10.1796875" bestFit="1" customWidth="1"/>
    <col min="5" max="5" width="11.54296875" bestFit="1" customWidth="1"/>
    <col min="6" max="6" width="9.81640625" bestFit="1" customWidth="1"/>
  </cols>
  <sheetData>
    <row r="1" spans="1:6" ht="13" thickBot="1" x14ac:dyDescent="0.3">
      <c r="A1" s="765" t="s">
        <v>216</v>
      </c>
      <c r="B1" s="766" t="s">
        <v>716</v>
      </c>
      <c r="C1" s="767" t="s">
        <v>709</v>
      </c>
      <c r="D1" s="767" t="s">
        <v>710</v>
      </c>
      <c r="E1" s="797" t="s">
        <v>711</v>
      </c>
      <c r="F1" s="798" t="s">
        <v>710</v>
      </c>
    </row>
    <row r="2" spans="1:6" ht="13" x14ac:dyDescent="0.3">
      <c r="A2" s="768" t="s">
        <v>730</v>
      </c>
      <c r="B2" s="795" t="s">
        <v>731</v>
      </c>
      <c r="C2" s="770" t="s">
        <v>713</v>
      </c>
      <c r="D2" s="796">
        <v>44902</v>
      </c>
      <c r="E2" s="770"/>
      <c r="F2" s="770"/>
    </row>
    <row r="3" spans="1:6" x14ac:dyDescent="0.25">
      <c r="B3" s="795" t="s">
        <v>725</v>
      </c>
      <c r="C3" s="770" t="s">
        <v>713</v>
      </c>
      <c r="D3" s="775">
        <v>44874</v>
      </c>
      <c r="E3" s="773"/>
      <c r="F3" s="776"/>
    </row>
    <row r="4" spans="1:6" ht="13" x14ac:dyDescent="0.3">
      <c r="A4" s="768" t="s">
        <v>723</v>
      </c>
      <c r="B4" s="770" t="s">
        <v>724</v>
      </c>
      <c r="C4" s="770" t="s">
        <v>713</v>
      </c>
      <c r="D4" s="776">
        <v>44082</v>
      </c>
      <c r="E4" s="773"/>
      <c r="F4" s="773"/>
    </row>
    <row r="5" spans="1:6" ht="13" x14ac:dyDescent="0.3">
      <c r="A5" s="768" t="s">
        <v>715</v>
      </c>
      <c r="B5" s="770" t="s">
        <v>721</v>
      </c>
      <c r="C5" s="770" t="s">
        <v>713</v>
      </c>
      <c r="D5" s="788">
        <v>44082</v>
      </c>
      <c r="E5" s="773"/>
      <c r="F5" s="773"/>
    </row>
    <row r="6" spans="1:6" x14ac:dyDescent="0.25">
      <c r="B6" s="787" t="s">
        <v>718</v>
      </c>
      <c r="C6" s="770" t="s">
        <v>713</v>
      </c>
      <c r="D6" s="771">
        <v>44033</v>
      </c>
      <c r="E6" s="773"/>
      <c r="F6" s="773"/>
    </row>
    <row r="7" spans="1:6" ht="13" x14ac:dyDescent="0.3">
      <c r="A7" s="768" t="s">
        <v>714</v>
      </c>
      <c r="B7" s="769" t="s">
        <v>712</v>
      </c>
      <c r="C7" s="770" t="s">
        <v>713</v>
      </c>
      <c r="D7" s="775">
        <v>44015</v>
      </c>
      <c r="E7" s="773"/>
      <c r="F7" s="773"/>
    </row>
    <row r="8" spans="1:6" ht="13" x14ac:dyDescent="0.3">
      <c r="A8" s="774"/>
      <c r="B8" s="773" t="s">
        <v>708</v>
      </c>
      <c r="C8" s="770" t="s">
        <v>713</v>
      </c>
      <c r="D8" s="776">
        <v>44014</v>
      </c>
      <c r="E8" s="773"/>
      <c r="F8" s="773"/>
    </row>
    <row r="9" spans="1:6" x14ac:dyDescent="0.25">
      <c r="A9" s="772"/>
      <c r="B9" s="773" t="s">
        <v>701</v>
      </c>
      <c r="C9" s="770" t="s">
        <v>713</v>
      </c>
      <c r="D9" s="776">
        <v>44008</v>
      </c>
      <c r="E9" s="773"/>
      <c r="F9" s="773"/>
    </row>
    <row r="10" spans="1:6" x14ac:dyDescent="0.25">
      <c r="A10" s="772"/>
      <c r="B10" s="770" t="s">
        <v>702</v>
      </c>
      <c r="C10" s="770" t="s">
        <v>713</v>
      </c>
      <c r="D10" s="776">
        <v>44008</v>
      </c>
      <c r="E10" s="773"/>
      <c r="F10" s="773"/>
    </row>
    <row r="11" spans="1:6" x14ac:dyDescent="0.25">
      <c r="A11" s="772"/>
      <c r="B11" s="770" t="s">
        <v>704</v>
      </c>
      <c r="C11" s="770" t="s">
        <v>713</v>
      </c>
      <c r="D11" s="776">
        <v>44014</v>
      </c>
      <c r="E11" s="773"/>
      <c r="F11" s="771"/>
    </row>
    <row r="12" spans="1:6" x14ac:dyDescent="0.25">
      <c r="A12" s="772"/>
      <c r="B12" s="770" t="s">
        <v>703</v>
      </c>
      <c r="C12" s="770" t="s">
        <v>713</v>
      </c>
      <c r="D12" s="776">
        <v>44008</v>
      </c>
      <c r="E12" s="769"/>
      <c r="F12" s="773"/>
    </row>
    <row r="13" spans="1:6" x14ac:dyDescent="0.25">
      <c r="A13" s="772"/>
      <c r="B13" s="770" t="s">
        <v>705</v>
      </c>
      <c r="C13" s="770" t="s">
        <v>713</v>
      </c>
      <c r="D13" s="776">
        <v>44015</v>
      </c>
      <c r="E13" s="773"/>
      <c r="F13" s="773"/>
    </row>
    <row r="14" spans="1:6" x14ac:dyDescent="0.25">
      <c r="A14" s="772"/>
      <c r="B14" s="770" t="s">
        <v>706</v>
      </c>
      <c r="C14" s="770"/>
      <c r="D14" s="776"/>
      <c r="E14" s="773"/>
      <c r="F14" s="773"/>
    </row>
    <row r="15" spans="1:6" x14ac:dyDescent="0.25">
      <c r="A15" s="772"/>
      <c r="B15" s="770"/>
      <c r="C15" s="770"/>
      <c r="D15" s="776"/>
      <c r="E15" s="773"/>
      <c r="F15" s="773"/>
    </row>
    <row r="16" spans="1:6" x14ac:dyDescent="0.25">
      <c r="A16" s="772"/>
      <c r="B16" s="770"/>
      <c r="C16" s="770"/>
      <c r="D16" s="776"/>
      <c r="E16" s="773"/>
      <c r="F16" s="773"/>
    </row>
    <row r="17" spans="1:6" x14ac:dyDescent="0.25">
      <c r="A17" s="772"/>
      <c r="B17" s="770"/>
      <c r="C17" s="770"/>
      <c r="D17" s="776"/>
      <c r="E17" s="773"/>
      <c r="F17" s="773"/>
    </row>
    <row r="18" spans="1:6" x14ac:dyDescent="0.25">
      <c r="A18" s="772"/>
      <c r="B18" s="770"/>
      <c r="C18" s="770"/>
      <c r="D18" s="776"/>
      <c r="E18" s="773"/>
      <c r="F18" s="773"/>
    </row>
    <row r="19" spans="1:6" x14ac:dyDescent="0.25">
      <c r="A19" s="772"/>
      <c r="B19" s="770"/>
      <c r="C19" s="773"/>
      <c r="D19" s="773"/>
      <c r="E19" s="773"/>
      <c r="F19" s="773"/>
    </row>
    <row r="20" spans="1:6" x14ac:dyDescent="0.25">
      <c r="A20" s="772"/>
      <c r="B20" s="773"/>
      <c r="C20" s="773"/>
      <c r="D20" s="773"/>
      <c r="E20" s="773"/>
      <c r="F20" s="773"/>
    </row>
    <row r="21" spans="1:6" x14ac:dyDescent="0.25">
      <c r="A21" s="772"/>
      <c r="B21" s="773"/>
      <c r="C21" s="773"/>
      <c r="D21" s="773"/>
      <c r="E21" s="773"/>
      <c r="F21" s="773"/>
    </row>
    <row r="22" spans="1:6" x14ac:dyDescent="0.25">
      <c r="A22" s="772"/>
      <c r="B22" s="773"/>
      <c r="C22" s="773"/>
      <c r="D22" s="773"/>
      <c r="E22" s="773"/>
      <c r="F22" s="773"/>
    </row>
    <row r="23" spans="1:6" x14ac:dyDescent="0.25">
      <c r="A23" s="772"/>
      <c r="B23" s="773"/>
      <c r="C23" s="773"/>
      <c r="D23" s="773"/>
      <c r="E23" s="773"/>
      <c r="F23" s="773"/>
    </row>
    <row r="24" spans="1:6" x14ac:dyDescent="0.25">
      <c r="A24" s="772"/>
      <c r="B24" s="773"/>
      <c r="C24" s="773"/>
      <c r="D24" s="773"/>
      <c r="E24" s="773"/>
      <c r="F24" s="773"/>
    </row>
    <row r="25" spans="1:6" x14ac:dyDescent="0.25">
      <c r="A25" s="772"/>
      <c r="B25" s="773"/>
      <c r="C25" s="773"/>
      <c r="D25" s="773"/>
      <c r="E25" s="773"/>
      <c r="F25" s="773"/>
    </row>
    <row r="26" spans="1:6" x14ac:dyDescent="0.25">
      <c r="A26" s="772"/>
      <c r="B26" s="773"/>
      <c r="C26" s="773"/>
      <c r="D26" s="773"/>
      <c r="E26" s="773"/>
      <c r="F26" s="773"/>
    </row>
    <row r="27" spans="1:6" x14ac:dyDescent="0.25">
      <c r="A27" s="772"/>
      <c r="B27" s="773"/>
      <c r="C27" s="773"/>
      <c r="D27" s="773"/>
      <c r="E27" s="773"/>
      <c r="F27" s="773"/>
    </row>
    <row r="28" spans="1:6" x14ac:dyDescent="0.25">
      <c r="A28" s="772"/>
      <c r="B28" s="773"/>
      <c r="C28" s="773"/>
      <c r="D28" s="773"/>
      <c r="E28" s="773"/>
      <c r="F28" s="773"/>
    </row>
    <row r="29" spans="1:6" x14ac:dyDescent="0.25">
      <c r="A29" s="772"/>
      <c r="B29" s="773"/>
      <c r="C29" s="773"/>
      <c r="D29" s="773"/>
      <c r="E29" s="773"/>
      <c r="F29" s="773"/>
    </row>
    <row r="30" spans="1:6" x14ac:dyDescent="0.25">
      <c r="A30" s="772"/>
      <c r="B30" s="773"/>
      <c r="C30" s="773"/>
      <c r="D30" s="773"/>
      <c r="E30" s="773"/>
      <c r="F30" s="773"/>
    </row>
    <row r="31" spans="1:6" x14ac:dyDescent="0.25">
      <c r="A31" s="772"/>
      <c r="B31" s="773"/>
      <c r="C31" s="773"/>
      <c r="D31" s="773"/>
      <c r="E31" s="773"/>
      <c r="F31" s="773"/>
    </row>
    <row r="32" spans="1:6" x14ac:dyDescent="0.25">
      <c r="A32" s="772"/>
      <c r="B32" s="773"/>
      <c r="C32" s="773"/>
      <c r="D32" s="773"/>
      <c r="E32" s="773"/>
      <c r="F32" s="773"/>
    </row>
    <row r="33" spans="1:6" x14ac:dyDescent="0.25">
      <c r="A33" s="772"/>
      <c r="B33" s="773"/>
      <c r="C33" s="773"/>
      <c r="D33" s="773"/>
      <c r="E33" s="773"/>
      <c r="F33" s="773"/>
    </row>
    <row r="34" spans="1:6" x14ac:dyDescent="0.25">
      <c r="A34" s="772"/>
      <c r="B34" s="773"/>
      <c r="C34" s="773"/>
      <c r="D34" s="773"/>
      <c r="E34" s="773"/>
      <c r="F34" s="773"/>
    </row>
    <row r="35" spans="1:6" x14ac:dyDescent="0.25">
      <c r="A35" s="772"/>
      <c r="B35" s="773"/>
    </row>
  </sheetData>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E50"/>
  <sheetViews>
    <sheetView workbookViewId="0">
      <selection activeCell="D2" sqref="D2"/>
    </sheetView>
  </sheetViews>
  <sheetFormatPr baseColWidth="10" defaultColWidth="11.453125" defaultRowHeight="10" x14ac:dyDescent="0.2"/>
  <cols>
    <col min="1" max="1" width="11.453125" style="1"/>
    <col min="2" max="2" width="18.81640625" style="1" customWidth="1"/>
    <col min="3" max="3" width="20.54296875" style="1" bestFit="1" customWidth="1"/>
    <col min="4" max="4" width="20.453125" style="1" bestFit="1" customWidth="1"/>
    <col min="5" max="5" width="21.26953125" style="1" customWidth="1"/>
    <col min="6" max="16384" width="11.453125" style="1"/>
  </cols>
  <sheetData>
    <row r="2" spans="2:5" x14ac:dyDescent="0.2">
      <c r="B2" s="1" t="s">
        <v>418</v>
      </c>
    </row>
    <row r="4" spans="2:5" x14ac:dyDescent="0.2">
      <c r="C4" s="1" t="s">
        <v>425</v>
      </c>
      <c r="D4" s="70" t="str">
        <f>"TDcustomEIRP!$D$9:$"&amp;INDEX(CT_HELP!A1:B5,3+TDcustomEIRP!D5,2)&amp;"$"&amp;8+D7</f>
        <v>TDcustomEIRP!$D$9:$E$14</v>
      </c>
    </row>
    <row r="5" spans="2:5" x14ac:dyDescent="0.2">
      <c r="C5" s="1" t="s">
        <v>423</v>
      </c>
      <c r="D5" s="70">
        <f>COUNT(D9:H9)</f>
        <v>2</v>
      </c>
    </row>
    <row r="6" spans="2:5" x14ac:dyDescent="0.2">
      <c r="C6" s="1" t="s">
        <v>424</v>
      </c>
      <c r="D6" s="70" t="str">
        <f>"TDcustomEIRP!$D$9:$D$"&amp;8+D7</f>
        <v>TDcustomEIRP!$D$9:$D$14</v>
      </c>
      <c r="E6" s="70" t="str">
        <f>"TDcustomEIRP!$E$9:$E$"&amp;8+E7</f>
        <v>TDcustomEIRP!$E$9:$E$14</v>
      </c>
    </row>
    <row r="7" spans="2:5" x14ac:dyDescent="0.2">
      <c r="C7" s="1" t="s">
        <v>419</v>
      </c>
      <c r="D7" s="70">
        <f>COUNT(D9:D20)</f>
        <v>6</v>
      </c>
      <c r="E7" s="70">
        <f>COUNT(E9:E20)</f>
        <v>6</v>
      </c>
    </row>
    <row r="8" spans="2:5" ht="10.5" x14ac:dyDescent="0.25">
      <c r="D8" s="18" t="s">
        <v>416</v>
      </c>
      <c r="E8" s="18" t="s">
        <v>417</v>
      </c>
    </row>
    <row r="9" spans="2:5" x14ac:dyDescent="0.2">
      <c r="D9" s="5">
        <v>36</v>
      </c>
      <c r="E9" s="9">
        <v>4000</v>
      </c>
    </row>
    <row r="10" spans="2:5" x14ac:dyDescent="0.2">
      <c r="D10" s="6">
        <v>33</v>
      </c>
      <c r="E10" s="10">
        <v>2000</v>
      </c>
    </row>
    <row r="11" spans="2:5" x14ac:dyDescent="0.2">
      <c r="D11" s="6">
        <v>30</v>
      </c>
      <c r="E11" s="10">
        <v>1000</v>
      </c>
    </row>
    <row r="12" spans="2:5" x14ac:dyDescent="0.2">
      <c r="D12" s="6">
        <v>27</v>
      </c>
      <c r="E12" s="10">
        <v>500</v>
      </c>
    </row>
    <row r="13" spans="2:5" x14ac:dyDescent="0.2">
      <c r="D13" s="6">
        <v>23</v>
      </c>
      <c r="E13" s="10">
        <v>200</v>
      </c>
    </row>
    <row r="14" spans="2:5" x14ac:dyDescent="0.2">
      <c r="D14" s="6">
        <v>20</v>
      </c>
      <c r="E14" s="10">
        <v>100</v>
      </c>
    </row>
    <row r="15" spans="2:5" x14ac:dyDescent="0.2">
      <c r="D15" s="6"/>
      <c r="E15" s="10"/>
    </row>
    <row r="16" spans="2:5" x14ac:dyDescent="0.2">
      <c r="D16" s="6"/>
      <c r="E16" s="10"/>
    </row>
    <row r="17" spans="2:5" x14ac:dyDescent="0.2">
      <c r="D17" s="6"/>
      <c r="E17" s="10"/>
    </row>
    <row r="18" spans="2:5" x14ac:dyDescent="0.2">
      <c r="D18" s="6"/>
      <c r="E18" s="10"/>
    </row>
    <row r="19" spans="2:5" x14ac:dyDescent="0.2">
      <c r="D19" s="6"/>
      <c r="E19" s="10"/>
    </row>
    <row r="20" spans="2:5" x14ac:dyDescent="0.2">
      <c r="D20" s="7"/>
      <c r="E20" s="11"/>
    </row>
    <row r="29" spans="2:5" x14ac:dyDescent="0.2">
      <c r="B29" s="2" t="s">
        <v>139</v>
      </c>
      <c r="C29" s="70" t="str">
        <f ca="1">"TDcustomEIRP!$C$32:$C$"&amp;31+C30</f>
        <v>TDcustomEIRP!$C$32:$C$38</v>
      </c>
    </row>
    <row r="30" spans="2:5" x14ac:dyDescent="0.2">
      <c r="B30" s="2" t="s">
        <v>419</v>
      </c>
      <c r="C30" s="70">
        <f ca="1">COUNT(C32:C50)</f>
        <v>7</v>
      </c>
    </row>
    <row r="31" spans="2:5" ht="10.5" x14ac:dyDescent="0.25">
      <c r="B31" s="417" t="s">
        <v>427</v>
      </c>
    </row>
    <row r="32" spans="2:5" x14ac:dyDescent="0.2">
      <c r="B32" s="5" t="s">
        <v>0</v>
      </c>
      <c r="C32" s="9">
        <v>20</v>
      </c>
    </row>
    <row r="33" spans="2:3" x14ac:dyDescent="0.2">
      <c r="B33" s="6" t="s">
        <v>1</v>
      </c>
      <c r="C33" s="10">
        <v>30</v>
      </c>
    </row>
    <row r="34" spans="2:3" x14ac:dyDescent="0.2">
      <c r="B34" s="6" t="s">
        <v>428</v>
      </c>
      <c r="C34" s="10">
        <v>20</v>
      </c>
    </row>
    <row r="35" spans="2:3" x14ac:dyDescent="0.2">
      <c r="B35" s="6" t="s">
        <v>429</v>
      </c>
      <c r="C35" s="10">
        <v>30</v>
      </c>
    </row>
    <row r="36" spans="2:3" x14ac:dyDescent="0.2">
      <c r="B36" s="6" t="s">
        <v>430</v>
      </c>
      <c r="C36" s="66">
        <f ca="1">IF(SelectionTables!D45,SelectionTables!D42,36)</f>
        <v>36</v>
      </c>
    </row>
    <row r="37" spans="2:3" x14ac:dyDescent="0.2">
      <c r="B37" s="6" t="s">
        <v>431</v>
      </c>
      <c r="C37" s="66">
        <f ca="1">IF(SelectionTables!D45,SelectionTables!D42,36)</f>
        <v>36</v>
      </c>
    </row>
    <row r="38" spans="2:3" x14ac:dyDescent="0.2">
      <c r="B38" s="6" t="s">
        <v>504</v>
      </c>
      <c r="C38" s="10">
        <v>30</v>
      </c>
    </row>
    <row r="39" spans="2:3" x14ac:dyDescent="0.2">
      <c r="B39" s="459"/>
      <c r="C39" s="10"/>
    </row>
    <row r="40" spans="2:3" x14ac:dyDescent="0.2">
      <c r="B40" s="6"/>
      <c r="C40" s="10"/>
    </row>
    <row r="41" spans="2:3" x14ac:dyDescent="0.2">
      <c r="B41" s="6"/>
      <c r="C41" s="10"/>
    </row>
    <row r="42" spans="2:3" x14ac:dyDescent="0.2">
      <c r="B42" s="6"/>
      <c r="C42" s="10"/>
    </row>
    <row r="43" spans="2:3" x14ac:dyDescent="0.2">
      <c r="B43" s="6"/>
      <c r="C43" s="10"/>
    </row>
    <row r="44" spans="2:3" x14ac:dyDescent="0.2">
      <c r="B44" s="6"/>
      <c r="C44" s="10"/>
    </row>
    <row r="45" spans="2:3" x14ac:dyDescent="0.2">
      <c r="B45" s="6"/>
      <c r="C45" s="10"/>
    </row>
    <row r="46" spans="2:3" x14ac:dyDescent="0.2">
      <c r="B46" s="6"/>
      <c r="C46" s="10"/>
    </row>
    <row r="47" spans="2:3" x14ac:dyDescent="0.2">
      <c r="B47" s="6"/>
      <c r="C47" s="10"/>
    </row>
    <row r="48" spans="2:3" x14ac:dyDescent="0.2">
      <c r="B48" s="6"/>
      <c r="C48" s="10"/>
    </row>
    <row r="49" spans="2:3" x14ac:dyDescent="0.2">
      <c r="B49" s="6"/>
      <c r="C49" s="10"/>
    </row>
    <row r="50" spans="2:3" x14ac:dyDescent="0.2">
      <c r="B50" s="7"/>
      <c r="C50" s="11"/>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L649"/>
  <sheetViews>
    <sheetView workbookViewId="0">
      <selection activeCell="D2" sqref="D2"/>
    </sheetView>
  </sheetViews>
  <sheetFormatPr baseColWidth="10" defaultColWidth="11.453125" defaultRowHeight="12.5" x14ac:dyDescent="0.25"/>
  <cols>
    <col min="1" max="1" width="11.453125" customWidth="1"/>
    <col min="2" max="2" width="23.453125" bestFit="1" customWidth="1"/>
    <col min="3" max="3" width="29.26953125" bestFit="1" customWidth="1"/>
    <col min="4" max="4" width="23.453125" customWidth="1"/>
    <col min="5" max="5" width="23.453125" bestFit="1" customWidth="1"/>
    <col min="6" max="6" width="29.26953125" bestFit="1" customWidth="1"/>
    <col min="7" max="7" width="4.26953125" style="122" customWidth="1"/>
    <col min="8" max="8" width="23.1796875" customWidth="1"/>
    <col min="9" max="9" width="25.81640625" bestFit="1" customWidth="1"/>
    <col min="10" max="10" width="22.54296875" bestFit="1" customWidth="1"/>
    <col min="11" max="11" width="25.81640625" bestFit="1" customWidth="1"/>
    <col min="12" max="12" width="26.453125" customWidth="1"/>
    <col min="13" max="14" width="29.1796875" bestFit="1" customWidth="1"/>
    <col min="15" max="15" width="23.7265625" bestFit="1" customWidth="1"/>
    <col min="16" max="16" width="11.453125" customWidth="1"/>
    <col min="17" max="17" width="27" bestFit="1" customWidth="1"/>
    <col min="18" max="18" width="4" customWidth="1"/>
    <col min="19" max="19" width="23.453125" bestFit="1" customWidth="1"/>
    <col min="20" max="20" width="24" bestFit="1" customWidth="1"/>
    <col min="21" max="21" width="23.453125" bestFit="1" customWidth="1"/>
    <col min="22" max="22" width="11.453125" customWidth="1"/>
    <col min="23" max="23" width="26.453125" bestFit="1" customWidth="1"/>
    <col min="24" max="24" width="3.7265625" customWidth="1"/>
    <col min="25" max="25" width="11.54296875" customWidth="1"/>
    <col min="26" max="26" width="23" bestFit="1" customWidth="1"/>
    <col min="27" max="27" width="11.453125" customWidth="1"/>
    <col min="28" max="30" width="26" bestFit="1" customWidth="1"/>
    <col min="31" max="31" width="25.81640625" bestFit="1" customWidth="1"/>
    <col min="32" max="32" width="25.7265625" bestFit="1" customWidth="1"/>
    <col min="33" max="33" width="11.453125" customWidth="1"/>
    <col min="34" max="34" width="23.453125" bestFit="1" customWidth="1"/>
    <col min="35" max="35" width="4" customWidth="1"/>
    <col min="36" max="36" width="25.1796875" bestFit="1" customWidth="1"/>
    <col min="37" max="37" width="26" bestFit="1" customWidth="1"/>
    <col min="38" max="38" width="25.453125" bestFit="1" customWidth="1"/>
    <col min="39" max="40" width="26" bestFit="1" customWidth="1"/>
    <col min="41" max="41" width="26.453125" bestFit="1" customWidth="1"/>
    <col min="42" max="42" width="26" bestFit="1" customWidth="1"/>
    <col min="43" max="43" width="26.453125" bestFit="1" customWidth="1"/>
    <col min="44" max="44" width="26" bestFit="1" customWidth="1"/>
    <col min="45" max="45" width="23.453125" bestFit="1" customWidth="1"/>
    <col min="46" max="46" width="11.453125" customWidth="1"/>
    <col min="47" max="47" width="22.81640625" bestFit="1" customWidth="1"/>
    <col min="49" max="49" width="27.26953125" bestFit="1" customWidth="1"/>
    <col min="50" max="50" width="25.453125" bestFit="1" customWidth="1"/>
    <col min="51" max="51" width="26" bestFit="1" customWidth="1"/>
    <col min="52" max="52" width="7" bestFit="1" customWidth="1"/>
    <col min="53" max="56" width="26" bestFit="1" customWidth="1"/>
    <col min="57" max="57" width="7" bestFit="1" customWidth="1"/>
    <col min="58" max="58" width="25.7265625" bestFit="1" customWidth="1"/>
    <col min="59" max="59" width="4.26953125" customWidth="1"/>
    <col min="60" max="60" width="26" bestFit="1" customWidth="1"/>
    <col min="61" max="61" width="25.81640625" bestFit="1" customWidth="1"/>
    <col min="62" max="62" width="25.1796875" bestFit="1" customWidth="1"/>
    <col min="63" max="63" width="7" bestFit="1" customWidth="1"/>
    <col min="64" max="64" width="23.453125" bestFit="1" customWidth="1"/>
  </cols>
  <sheetData>
    <row r="1" spans="2:64" x14ac:dyDescent="0.25">
      <c r="B1" t="s">
        <v>331</v>
      </c>
      <c r="G1" s="92"/>
      <c r="H1" s="92" t="s">
        <v>329</v>
      </c>
      <c r="I1" s="92"/>
      <c r="J1" s="92"/>
      <c r="K1" s="92"/>
      <c r="L1" s="92"/>
      <c r="M1" s="92"/>
      <c r="N1" s="92"/>
      <c r="O1" s="92"/>
      <c r="P1" s="91"/>
      <c r="Q1" s="91"/>
      <c r="S1" s="536" t="s">
        <v>597</v>
      </c>
      <c r="T1" s="537"/>
      <c r="Y1" t="s">
        <v>312</v>
      </c>
      <c r="AJ1" t="s">
        <v>287</v>
      </c>
      <c r="AK1" t="s">
        <v>324</v>
      </c>
      <c r="AN1" s="92"/>
      <c r="AU1" t="s">
        <v>328</v>
      </c>
      <c r="AW1" t="s">
        <v>307</v>
      </c>
      <c r="BB1" s="152" t="s">
        <v>593</v>
      </c>
      <c r="BH1" s="152" t="s">
        <v>617</v>
      </c>
    </row>
    <row r="2" spans="2:64" x14ac:dyDescent="0.25">
      <c r="B2" s="241" t="s">
        <v>139</v>
      </c>
      <c r="C2" s="241" t="s">
        <v>332</v>
      </c>
      <c r="D2" s="241" t="s">
        <v>295</v>
      </c>
      <c r="E2" s="241" t="s">
        <v>298</v>
      </c>
      <c r="F2" s="242" t="s">
        <v>333</v>
      </c>
      <c r="G2" s="92"/>
      <c r="H2" s="267" t="s">
        <v>139</v>
      </c>
      <c r="I2" s="242" t="s">
        <v>330</v>
      </c>
      <c r="J2" s="242" t="s">
        <v>298</v>
      </c>
      <c r="K2" s="242" t="s">
        <v>334</v>
      </c>
      <c r="L2" s="267" t="s">
        <v>335</v>
      </c>
      <c r="M2" s="267" t="s">
        <v>303</v>
      </c>
      <c r="N2" s="267" t="s">
        <v>336</v>
      </c>
      <c r="O2" s="241" t="s">
        <v>295</v>
      </c>
      <c r="P2" s="241" t="s">
        <v>298</v>
      </c>
      <c r="Q2" s="242" t="s">
        <v>308</v>
      </c>
      <c r="S2" s="241" t="s">
        <v>139</v>
      </c>
      <c r="T2" s="241" t="s">
        <v>294</v>
      </c>
      <c r="U2" s="241" t="s">
        <v>295</v>
      </c>
      <c r="V2" s="241" t="s">
        <v>298</v>
      </c>
      <c r="W2" s="242" t="s">
        <v>308</v>
      </c>
      <c r="Y2" s="242" t="s">
        <v>139</v>
      </c>
      <c r="Z2" s="242" t="s">
        <v>313</v>
      </c>
      <c r="AA2" s="242" t="s">
        <v>298</v>
      </c>
      <c r="AB2" s="242" t="s">
        <v>314</v>
      </c>
      <c r="AC2" s="241" t="s">
        <v>315</v>
      </c>
      <c r="AD2" s="242" t="s">
        <v>303</v>
      </c>
      <c r="AE2" s="242" t="s">
        <v>318</v>
      </c>
      <c r="AF2" s="241" t="s">
        <v>295</v>
      </c>
      <c r="AG2" s="241" t="s">
        <v>305</v>
      </c>
      <c r="AH2" s="242" t="s">
        <v>316</v>
      </c>
      <c r="AJ2" s="241" t="s">
        <v>139</v>
      </c>
      <c r="AK2" s="242" t="s">
        <v>294</v>
      </c>
      <c r="AL2" s="242" t="s">
        <v>298</v>
      </c>
      <c r="AM2" s="242" t="s">
        <v>323</v>
      </c>
      <c r="AN2" s="241" t="s">
        <v>325</v>
      </c>
      <c r="AO2" s="242" t="s">
        <v>303</v>
      </c>
      <c r="AP2" s="242" t="s">
        <v>326</v>
      </c>
      <c r="AQ2" s="241" t="s">
        <v>295</v>
      </c>
      <c r="AR2" s="242" t="s">
        <v>139</v>
      </c>
      <c r="AS2" s="242" t="s">
        <v>327</v>
      </c>
      <c r="AU2" s="266"/>
      <c r="AW2" s="241" t="s">
        <v>139</v>
      </c>
      <c r="AX2" s="241" t="s">
        <v>294</v>
      </c>
      <c r="AY2" s="241" t="s">
        <v>295</v>
      </c>
      <c r="AZ2" s="241" t="s">
        <v>298</v>
      </c>
      <c r="BA2" s="542" t="s">
        <v>594</v>
      </c>
      <c r="BB2" s="543" t="s">
        <v>303</v>
      </c>
      <c r="BC2" s="241" t="s">
        <v>294</v>
      </c>
      <c r="BD2" s="150" t="s">
        <v>595</v>
      </c>
      <c r="BE2" s="150" t="s">
        <v>305</v>
      </c>
      <c r="BF2" s="150" t="s">
        <v>596</v>
      </c>
      <c r="BH2" s="241" t="s">
        <v>139</v>
      </c>
      <c r="BI2" s="241" t="s">
        <v>294</v>
      </c>
      <c r="BJ2" s="241" t="s">
        <v>295</v>
      </c>
      <c r="BK2" s="241" t="s">
        <v>298</v>
      </c>
      <c r="BL2" s="542" t="s">
        <v>618</v>
      </c>
    </row>
    <row r="3" spans="2:64" ht="13" thickBot="1" x14ac:dyDescent="0.3">
      <c r="B3" s="243" t="str">
        <f>"PointBTempTables!B4:B"&amp;4+ProductTable!C2</f>
        <v>PointBTempTables!B4:B16</v>
      </c>
      <c r="C3" s="243" t="str">
        <f>"PointBTempTables!C4:C"&amp;4+ProductTable!C2</f>
        <v>PointBTempTables!C4:C16</v>
      </c>
      <c r="D3" s="243" t="str">
        <f>"PointBTempTables!D4:D"&amp;4+ProductTable!C2</f>
        <v>PointBTempTables!D4:D16</v>
      </c>
      <c r="E3" s="241"/>
      <c r="F3" s="241"/>
      <c r="G3" s="92"/>
      <c r="H3" s="243" t="str">
        <f>"PointBTempTables!H4:H"&amp;4+ProductTable!W2</f>
        <v>PointBTempTables!H4:H28</v>
      </c>
      <c r="I3" s="252" t="str">
        <f>"PointBTempTables!I4:I"&amp;4+ProductTable!W2</f>
        <v>PointBTempTables!I4:I28</v>
      </c>
      <c r="J3" s="253" t="str">
        <f>"PointBTempTables!J4:J"&amp;4+ProductTable!W2</f>
        <v>PointBTempTables!J4:J28</v>
      </c>
      <c r="K3" s="252" t="str">
        <f>"PointBTempTables!K4:K"&amp;4+ProductTable!W2</f>
        <v>PointBTempTables!K4:K28</v>
      </c>
      <c r="L3" s="253" t="str">
        <f>"PointBTempTables!L4:L"&amp;4+ProductTable!W2</f>
        <v>PointBTempTables!L4:L28</v>
      </c>
      <c r="M3" s="243" t="str">
        <f>"PointBTempTables!M4:M"&amp;4+ProductTable!W2</f>
        <v>PointBTempTables!M4:M28</v>
      </c>
      <c r="N3" s="243" t="str">
        <f>"PointBTempTables!N4:N"&amp;4+ProductTable!W2</f>
        <v>PointBTempTables!N4:N28</v>
      </c>
      <c r="O3" s="253" t="str">
        <f>"PointBTempTables!O4:O"&amp;4+ProductTable!W2</f>
        <v>PointBTempTables!O4:O28</v>
      </c>
      <c r="P3" s="242"/>
      <c r="Q3" s="242"/>
      <c r="S3" s="243" t="str">
        <f>"PointBTempTables!S4:S"&amp;4+ProductTable!H2</f>
        <v>PointBTempTables!S4:S18</v>
      </c>
      <c r="T3" s="243" t="str">
        <f>"PointBTempTables!T4:T"&amp;4+ProductTable!H2</f>
        <v>PointBTempTables!T4:T18</v>
      </c>
      <c r="U3" s="243" t="str">
        <f>"PointBTempTables!U4:U"&amp;4+ProductTable!H2</f>
        <v>PointBTempTables!U4:U18</v>
      </c>
      <c r="V3" s="241"/>
      <c r="W3" s="241"/>
      <c r="Y3" s="241"/>
      <c r="Z3" s="243" t="str">
        <f>"PointBTempTables!Z4:Z"&amp;4+ProductTable!M2</f>
        <v>PointBTempTables!Z4:Z22</v>
      </c>
      <c r="AA3" s="241"/>
      <c r="AB3" s="243" t="str">
        <f>"PointBTempTables!AB4:AB"&amp;4+ProductTable!$M$2</f>
        <v>PointBTempTables!AB4:AB22</v>
      </c>
      <c r="AC3" s="243" t="str">
        <f>"PointBTempTables!AC4:AC"&amp;4+ProductTable!M2</f>
        <v>PointBTempTables!AC4:AC22</v>
      </c>
      <c r="AD3" s="243" t="str">
        <f>"PointBTempTables!AD4:AD"&amp;4+ProductTable!M2</f>
        <v>PointBTempTables!AD4:AD22</v>
      </c>
      <c r="AE3" s="243" t="str">
        <f>"PointBTempTables!AE4:AE"&amp;4+ProductTable!M2</f>
        <v>PointBTempTables!AE4:AE22</v>
      </c>
      <c r="AF3" s="243" t="str">
        <f>"PointBTempTables!AF4:AF"&amp;4+ProductTable!M2</f>
        <v>PointBTempTables!AF4:AF22</v>
      </c>
      <c r="AG3" s="241"/>
      <c r="AH3" s="241"/>
      <c r="AJ3" s="243" t="str">
        <f>"PointBTempTables!AJ4:AJ"&amp;4+ProductTable!$M$2</f>
        <v>PointBTempTables!AJ4:AJ22</v>
      </c>
      <c r="AK3" s="243" t="str">
        <f>"PointBTempTables!AK4:AK"&amp;4+ProductTable!$M$2</f>
        <v>PointBTempTables!AK4:AK22</v>
      </c>
      <c r="AL3" s="241"/>
      <c r="AM3" s="243" t="str">
        <f>"PointBTempTables!AB4:AB"&amp;4+ProductTable!$M$2</f>
        <v>PointBTempTables!AB4:AB22</v>
      </c>
      <c r="AN3" s="243" t="str">
        <f>"PointBTempTables!AN4:AN"&amp;4+ProductTable!$M$2</f>
        <v>PointBTempTables!AN4:AN22</v>
      </c>
      <c r="AO3" s="243" t="str">
        <f>"PointBTempTables!AO4:AO"&amp;4+ProductTable!$M$2</f>
        <v>PointBTempTables!AO4:AO22</v>
      </c>
      <c r="AP3" s="243" t="str">
        <f>"PointBTempTables!AP4:AP"&amp;4+ProductTable!$M$2</f>
        <v>PointBTempTables!AP4:AP22</v>
      </c>
      <c r="AQ3" s="243" t="str">
        <f>"PointBTempTables!AQ4:AQ"&amp;4+ProductTable!AG2</f>
        <v>PointBTempTables!AQ4:AQ22</v>
      </c>
      <c r="AR3" s="243" t="str">
        <f>"PointBTempTables!AK4:AK"&amp;4+ProductTable!AG2</f>
        <v>PointBTempTables!AK4:AK22</v>
      </c>
      <c r="AS3" s="241"/>
      <c r="AU3" s="238"/>
      <c r="AW3" s="538" t="str">
        <f>"PointBTempTables!AW4:AW"&amp;4+ProductTable!$H$2</f>
        <v>PointBTempTables!AW4:AW18</v>
      </c>
      <c r="AX3" s="538" t="str">
        <f>"PointBTempTables!AX4:AX"&amp;4+ProductTable!$H$2</f>
        <v>PointBTempTables!AX4:AX18</v>
      </c>
      <c r="AY3" s="538" t="str">
        <f>"PointBTempTables!AY4:AY"&amp;4+ProductTable!$H$2</f>
        <v>PointBTempTables!AY4:AY18</v>
      </c>
      <c r="AZ3" s="241"/>
      <c r="BA3" s="538" t="str">
        <f>"PointBTempTables!BA4:BA"&amp;4+ProductTable!$H$2</f>
        <v>PointBTempTables!BA4:BA18</v>
      </c>
      <c r="BB3" s="538" t="str">
        <f>"PointBTempTables!BB4:BB"&amp;4+ProductTable!$H$2</f>
        <v>PointBTempTables!BB4:BB18</v>
      </c>
      <c r="BC3" s="538" t="str">
        <f>"PointBTempTables!BC4:BC"&amp;4+ProductTable!$H$2</f>
        <v>PointBTempTables!BC4:BC18</v>
      </c>
      <c r="BD3" s="538" t="str">
        <f>"PointBTempTables!BD4:BD"&amp;4+ProductTable!$H$2</f>
        <v>PointBTempTables!BD4:BD18</v>
      </c>
      <c r="BF3" s="538" t="str">
        <f>"PointBTempTables!BF4:BF"&amp;4+ProductTable!$H$2</f>
        <v>PointBTempTables!BF4:BF18</v>
      </c>
      <c r="BH3" s="628" t="str">
        <f>"PointBTempTables!BH4:BH"&amp;4+ProductTable!$AG$2</f>
        <v>PointBTempTables!BH4:BH22</v>
      </c>
      <c r="BI3" s="628" t="str">
        <f>"PointBTempTables!BI4:BI"&amp;4+ProductTable!AG2</f>
        <v>PointBTempTables!BI4:BI22</v>
      </c>
      <c r="BJ3" s="628" t="str">
        <f>"PointBTempTables!BJ4:BJ"&amp;4+ProductTable!AG2</f>
        <v>PointBTempTables!BJ4:BJ22</v>
      </c>
      <c r="BK3" s="627"/>
      <c r="BL3" s="627"/>
    </row>
    <row r="4" spans="2:64" x14ac:dyDescent="0.25">
      <c r="B4" s="184">
        <f ca="1">MATCH(TRUE,INDIRECT(INDEX(INDIRECT(CT_APtoSTA!B4),0,MATCH(SelectionTables!G4,INDIRECT(CT_APtoSTA!G3),0))),0)</f>
        <v>1</v>
      </c>
      <c r="C4" s="184" t="str">
        <f ca="1">INDEX(INDIRECT(CT_APtoSTA!$G$2),SUM($B$4:$B4))</f>
        <v>LANCOM OAP-1702B</v>
      </c>
      <c r="D4" s="184" t="b">
        <f ca="1">IF(ISERROR(MATCH(C4,INDIRECT(ProductTable!$E$4),0)),FALSE,TRUE)</f>
        <v>1</v>
      </c>
      <c r="E4" s="184">
        <f ca="1">MATCH(TRUE,INDIRECT($D$3),0)</f>
        <v>1</v>
      </c>
      <c r="F4" s="184" t="str">
        <f ca="1">IF(ISERROR($E4),"",INDEX(INDIRECT($C$3),SUM($E$4:$E4)))</f>
        <v>LANCOM OAP-1702B</v>
      </c>
      <c r="G4" s="92"/>
      <c r="H4" s="268">
        <f ca="1">MATCH(TRUE,INDIRECT(INDEX(INDIRECT(CT_STAtoWLAN!A5),MATCH(SelectionTables!G4,INDIRECT(CT_STAtoWLAN!G2),0),0)),0)</f>
        <v>15</v>
      </c>
      <c r="I4" s="251" t="str">
        <f ca="1">INDEX(INDIRECT(CT_STAtoWLAN!$G$3),1,SUM($H$4:$H4))</f>
        <v>QCA9880</v>
      </c>
      <c r="J4" s="268">
        <f ca="1">MATCH(TRUE,INDIRECT(INDEX(INDIRECT(CT_APtoWLAN!A5),MATCH(SelectionTables!S4,INDIRECT(CT_APtoWLAN!G2),0),0)),0)</f>
        <v>23</v>
      </c>
      <c r="K4" s="251" t="str">
        <f ca="1">INDEX(INDIRECT(CT_APtoWLAN!$G$3),1,SUM($J$4:$J4))</f>
        <v>QCA9994 (2,4 GHz)</v>
      </c>
      <c r="L4" s="268" t="b">
        <f ca="1">IF(ISERROR(MATCH(I4,INDIRECT(K$3),0)),FALSE,TRUE)</f>
        <v>0</v>
      </c>
      <c r="M4" s="184">
        <f ca="1">MATCH(TRUE,INDIRECT(L$3),0)</f>
        <v>7</v>
      </c>
      <c r="N4" s="251" t="str">
        <f ca="1">INDEX(INDIRECT(I$3),SUM(M$4:M4))</f>
        <v>QCA9994 (5 GHz)</v>
      </c>
      <c r="O4" s="184" t="b">
        <f ca="1">IF(ISERROR(MATCH(N4,INDIRECT(ProductTable!$Y$4),0)),FALSE,TRUE)</f>
        <v>1</v>
      </c>
      <c r="P4" s="184">
        <f ca="1">MATCH(TRUE,INDIRECT(O$3),0)</f>
        <v>1</v>
      </c>
      <c r="Q4" s="184" t="str">
        <f ca="1">IF(ISERROR(P4),"",INDEX(INDIRECT(N3),P4))</f>
        <v>QCA9994 (5 GHz)</v>
      </c>
      <c r="S4" s="133">
        <f ca="1">MATCH(TRUE,INDIRECT(INDEX(INDIRECT(CT_STAtoANT!A5),MATCH(SelectionTables!G4,INDIRECT(CT_STAtoANT!G2),0),0)),0)</f>
        <v>1</v>
      </c>
      <c r="T4" s="184" t="str">
        <f ca="1">INDEX(INDIRECT(CT_STAtoANT!$G$3),1,S4)</f>
        <v>AirLancer O-9a</v>
      </c>
      <c r="U4" s="184" t="b">
        <f ca="1">IF(ISERROR(MATCH(T4,INDIRECT(ProductTable!$J$4),0)),FALSE,TRUE)</f>
        <v>1</v>
      </c>
      <c r="V4" s="184">
        <f ca="1">MATCH(TRUE,INDIRECT($U$3),0)</f>
        <v>1</v>
      </c>
      <c r="W4" s="184" t="str">
        <f ca="1">IF(ISERROR(V4),"",INDEX(INDIRECT(T3),V4))</f>
        <v>AirLancer O-9a</v>
      </c>
      <c r="Y4" s="184">
        <f ca="1">MATCH(TRUE,INDIRECT(INDEX(INDIRECT(CT_APtoC1!A5),MATCH(SelectionTables!S4,INDIRECT(CT_APtoC1!G2),0),0)),0)</f>
        <v>1</v>
      </c>
      <c r="Z4" s="254" t="str">
        <f ca="1">INDEX(INDIRECT(CT_APtoC1!$G$3),1,SUM($Y$4:$Y4))</f>
        <v>AirLancer Cable NJ-NP 3m</v>
      </c>
      <c r="AA4" s="184">
        <f ca="1">MATCH(TRUE,INDIRECT(INDEX(INDIRECT(CT_C1toANT!$B$4),0,MATCH(SelectionTables!$U$4,INDIRECT(CT_C1toANT!$G$3),0))),0)</f>
        <v>1</v>
      </c>
      <c r="AB4" s="254" t="str">
        <f ca="1">IF(ISERROR(AA4),"",INDEX(INDIRECT(CT_C1toANT!$G$2),AA4))</f>
        <v>AirLancer Cable NJ-NP 3m</v>
      </c>
      <c r="AC4" s="184" t="b">
        <f ca="1">IF(ISERROR(MATCH(Z4,INDIRECT(AB$3),0)),FALSE,TRUE)</f>
        <v>1</v>
      </c>
      <c r="AD4" s="184">
        <f ca="1">MATCH(TRUE,INDIRECT(AC$3),0)</f>
        <v>1</v>
      </c>
      <c r="AE4" s="184" t="str">
        <f ca="1">INDEX(INDIRECT(Z$3),SUM(AD$4:AD4))</f>
        <v>AirLancer Cable NJ-NP 3m</v>
      </c>
      <c r="AF4" s="184" t="b">
        <f ca="1">IF(ISERROR(MATCH(AE4,INDIRECT(ProductTable!$O$4),0)),FALSE,TRUE)</f>
        <v>1</v>
      </c>
      <c r="AG4" s="184">
        <f ca="1">MATCH(TRUE,INDIRECT($AF$3),0)</f>
        <v>1</v>
      </c>
      <c r="AH4" s="184" t="str">
        <f ca="1">IF(ISERROR(AG4),"",INDEX(INDIRECT($AE$3),AG4))</f>
        <v>AirLancer Cable NJ-NP 3m</v>
      </c>
      <c r="AJ4" s="184">
        <f ca="1">MATCH(TRUE,INDIRECT(INDEX(INDIRECT(CT_SAtoC1!A5),MATCH(SelectionTables!V4,INDIRECT(CT_SAtoC1!G2),0),0)),0)</f>
        <v>1</v>
      </c>
      <c r="AK4" s="254" t="str">
        <f ca="1">INDEX(INDIRECT(CT_SAtoC1!$G$3),1,SUM($AJ$4:$AJ4))</f>
        <v>AirLancer Cable NJ-NP 3m</v>
      </c>
      <c r="AL4" s="184">
        <f ca="1">MATCH(TRUE,INDIRECT(INDEX(INDIRECT(CT_C1toANT!$B$4),0,MATCH(SelectionTables!$U$4,INDIRECT(CT_C1toANT!$G$3),0))),0)</f>
        <v>1</v>
      </c>
      <c r="AM4" s="254" t="str">
        <f ca="1">IF(ISERROR(AL4),"",INDEX(INDIRECT(CT_C1toANT!$G$2),AL4))</f>
        <v>AirLancer Cable NJ-NP 3m</v>
      </c>
      <c r="AN4" s="184" t="b">
        <f t="shared" ref="AN4:AN45" ca="1" si="0">IF(ISERROR(MATCH(AK4,INDIRECT(AM$3),0)),FALSE,TRUE)</f>
        <v>1</v>
      </c>
      <c r="AO4" s="184">
        <f ca="1">MATCH(TRUE,INDIRECT(AN$3),0)</f>
        <v>1</v>
      </c>
      <c r="AP4" s="184" t="str">
        <f ca="1">INDEX(INDIRECT(AK$3),SUM(AO$4:AO4))</f>
        <v>AirLancer Cable NJ-NP 3m</v>
      </c>
      <c r="AQ4" s="184" t="b">
        <f ca="1">IF(ISERROR(MATCH(AP4,INDIRECT(ProductTable!$AI$4),0)),FALSE,TRUE)</f>
        <v>1</v>
      </c>
      <c r="AR4" s="184">
        <f ca="1">MATCH(TRUE,INDIRECT($AQ$3),0)</f>
        <v>1</v>
      </c>
      <c r="AS4" s="184" t="str">
        <f ca="1">IF(ISERROR(AR4),"",INDEX(INDIRECT(AP$3),SUM(AR$4:AR4)))</f>
        <v>AirLancer Cable NJ-NP 3m</v>
      </c>
      <c r="AU4" s="184" t="str">
        <f ca="1">IF(OR(EXACT(SelectionTables!$T$4,ProductTable!$L$7),EXACT(SelectionTables!$T$4,"")),ProductTable!$Q$7,ProductTable!T7)</f>
        <v>No surge arrestor</v>
      </c>
      <c r="AW4" s="539">
        <f ca="1">MATCH(TRUE,INDIRECT(INDEX(INDIRECT(CT_STAtoANT!$A$5),MATCH(SelectionTables!$G$4,INDIRECT(CT_STAtoANT!$G$2),0),0)),0)</f>
        <v>1</v>
      </c>
      <c r="AX4" s="541" t="str">
        <f ca="1">INDEX(INDIRECT(CT_STAtoANT!$G$3),1,$AW4)</f>
        <v>AirLancer O-9a</v>
      </c>
      <c r="AY4" s="541" t="b">
        <f ca="1">IF(ISERROR(MATCH($AX$4,INDIRECT(ProductTable!$J$4),0)),FALSE,TRUE)</f>
        <v>1</v>
      </c>
      <c r="AZ4" s="541">
        <f ca="1">MATCH(TRUE,INDIRECT($AY$3),0)</f>
        <v>1</v>
      </c>
      <c r="BA4" s="541" t="str">
        <f ca="1">IF(ISERROR($AZ$4),"",INDEX(INDIRECT($AX$3),$AZ$4))</f>
        <v>AirLancer O-9a</v>
      </c>
      <c r="BB4" s="541">
        <f ca="1">MATCH(TRUE,INDIRECT(INDEX(INDIRECT(CT_APtoANT!$A$5),MATCH(SelectionTables!$S$4,INDIRECT(CT_APtoANT!$G$2),0),0)),0)</f>
        <v>1</v>
      </c>
      <c r="BC4" s="541" t="str">
        <f ca="1">INDEX(INDIRECT(CT_APtoANT!$G$3),1,$BB4)</f>
        <v>AirLancer O-9a</v>
      </c>
      <c r="BD4" s="541" t="b">
        <f ca="1">IF(ISERROR(MATCH(BA4,INDIRECT($BC$3),0)),FALSE,TRUE)</f>
        <v>1</v>
      </c>
      <c r="BE4" s="541">
        <f ca="1">MATCH(TRUE,INDIRECT($BD$3),0)</f>
        <v>1</v>
      </c>
      <c r="BF4" s="541" t="str">
        <f ca="1">IF(ISERROR($BE$4),"",INDEX(INDIRECT($BA$3),$BE$4))</f>
        <v>AirLancer O-9a</v>
      </c>
      <c r="BH4" s="541">
        <f ca="1">MATCH(TRUE,INDIRECT(INDEX(INDIRECT(CT_APtoC1!$A$5),MATCH(SelectionTables!$S$4,INDIRECT(CT_APtoC1!$G$2),0),0)),0)</f>
        <v>1</v>
      </c>
      <c r="BI4" s="541" t="str">
        <f ca="1">INDEX(INDIRECT(CT_APtoC1!$G$3),1,BH4)</f>
        <v>AirLancer Cable NJ-NP 3m</v>
      </c>
      <c r="BJ4" s="541" t="b">
        <f ca="1">IF(ISERROR(MATCH(BI4,INDIRECT(ProductTable!$AI$4),0)),FALSE,TRUE)</f>
        <v>1</v>
      </c>
      <c r="BK4" s="541">
        <f ca="1">MATCH(TRUE,INDIRECT($BJ$3),0)</f>
        <v>1</v>
      </c>
      <c r="BL4" s="541" t="str">
        <f ca="1">IF(ISERROR(BK4),"",INDEX(INDIRECT(BI3),BK4))</f>
        <v>AirLancer Cable NJ-NP 3m</v>
      </c>
    </row>
    <row r="5" spans="2:64" x14ac:dyDescent="0.25">
      <c r="B5" s="184">
        <f ca="1">MATCH(TRUE,OFFSET(INDIRECT(INDEX(INDIRECT(CT_APtoSTA!$B$4),0,MATCH(SelectionTables!$G$4,INDIRECT(CT_APtoSTA!$G$3),0))),SUM($B$4:$B4),0,ProductTable!$C$2-SUM($B$4:$B4)),0)</f>
        <v>1</v>
      </c>
      <c r="C5" s="184" t="str">
        <f ca="1">INDEX(INDIRECT(CT_APtoSTA!$G$2),SUM($B$4:$B5))</f>
        <v>LANCOM OAP-1700B</v>
      </c>
      <c r="D5" s="184" t="b">
        <f ca="1">IF(ISERROR(MATCH(C5,INDIRECT(ProductTable!$E$4),0)),FALSE,TRUE)</f>
        <v>1</v>
      </c>
      <c r="E5" s="184">
        <f ca="1">MATCH(TRUE,OFFSET(INDIRECT($D$3),SUM($E$4:$E4),0,ProductTable!$C$2-SUM($E$4:$E4),1),0)</f>
        <v>1</v>
      </c>
      <c r="F5" s="184" t="str">
        <f ca="1">IF(ISERROR($E5),"",INDEX(INDIRECT($C$3),SUM($E$4:$E5)))</f>
        <v>LANCOM OAP-1700B</v>
      </c>
      <c r="G5" s="92"/>
      <c r="H5" s="268">
        <f ca="1">MATCH(TRUE,OFFSET(INDIRECT(INDEX(INDIRECT(CT_STAtoWLAN!$A$5),MATCH(SelectionTables!$G$4,INDIRECT(CT_STAtoWLAN!$G$2),0),0)),0,SUM($H$4:$H4),1,ProductTable!$W$2-SUM($H$4:$H4)),0)</f>
        <v>1</v>
      </c>
      <c r="I5" s="251" t="str">
        <f ca="1">INDEX(INDIRECT(CT_STAtoWLAN!$G$3),1,SUM($H$4:$H5))</f>
        <v>QCA9882</v>
      </c>
      <c r="J5" s="268">
        <f ca="1">MATCH(TRUE,OFFSET(INDIRECT(INDEX(INDIRECT(CT_APtoWLAN!$A$5),MATCH(SelectionTables!$S$4,INDIRECT(CT_APtoWLAN!$G$2),0),0)),0,SUM($J$4:$J4),1,ProductTable!$W$2-SUM($J$4:$J4)),0)</f>
        <v>1</v>
      </c>
      <c r="K5" s="251" t="str">
        <f ca="1">INDEX(INDIRECT(CT_APtoWLAN!$G$3),1,SUM($J$4:$J5))</f>
        <v>QCA9994 (5 GHz)</v>
      </c>
      <c r="L5" s="268" t="b">
        <f ca="1">IF(ISERROR(MATCH(I5,INDIRECT(K$3),0)),FALSE,TRUE)</f>
        <v>0</v>
      </c>
      <c r="M5" s="184" t="e">
        <f ca="1">MATCH(TRUE,OFFSET(INDIRECT(L$3),SUM(M$4:M4),0),0)</f>
        <v>#N/A</v>
      </c>
      <c r="N5" s="251" t="e">
        <f ca="1">INDEX(INDIRECT(I$3),SUM(M$4:M5))</f>
        <v>#N/A</v>
      </c>
      <c r="O5" s="184" t="b">
        <f ca="1">IF(ISERROR(MATCH(N5,INDIRECT(ProductTable!$Y$4),0)),FALSE,TRUE)</f>
        <v>0</v>
      </c>
      <c r="P5" s="184" t="e">
        <f ca="1">MATCH(TRUE,OFFSET(INDIRECT(O$3),SUM(P$4:P4),0),0)</f>
        <v>#N/A</v>
      </c>
      <c r="Q5" s="184" t="str">
        <f ca="1">IF(ISERROR(P5),"",INDEX(INDIRECT(N$3),SUM($P$4:$P5)))</f>
        <v/>
      </c>
      <c r="S5" s="134">
        <f ca="1">MATCH(TRUE,OFFSET(INDIRECT(INDEX(INDIRECT(CT_STAtoANT!$A$5),MATCH(SelectionTables!$G$4,INDIRECT(CT_STAtoANT!$G$2),0),0)),0,SUM($S$4:$S4),1,ProductTable!$H$2-SUM($S$4:$S4)),0)</f>
        <v>1</v>
      </c>
      <c r="T5" s="184" t="str">
        <f ca="1">INDEX(INDIRECT(CT_STAtoANT!$G$3),1,SUM($S$4:$S5))</f>
        <v>AirLancer ON-D9a</v>
      </c>
      <c r="U5" s="184" t="b">
        <f ca="1">IF(ISERROR(MATCH(T5,INDIRECT(ProductTable!$J$4),0)),FALSE,TRUE)</f>
        <v>1</v>
      </c>
      <c r="V5" s="184">
        <f ca="1">MATCH(TRUE,OFFSET(INDIRECT($U$3),SUM($V$4:$V4),0,ProductTable!$H$2-SUM($V$4:$V4),1),0)</f>
        <v>1</v>
      </c>
      <c r="W5" s="184" t="str">
        <f ca="1">IF(ISERROR($V5),"",INDEX(INDIRECT($T$3),SUM($V$4:$V5)))</f>
        <v>AirLancer ON-D9a</v>
      </c>
      <c r="Y5" s="184">
        <f ca="1">MATCH(TRUE,OFFSET(INDIRECT(INDEX(INDIRECT(CT_APtoC1!$A$5),MATCH(SelectionTables!$S$4,INDIRECT(CT_APtoC1!$G$2),0),0)),0,SUM($Y$4:$Y4),1,ProductTable!$C$2-SUM($Y$4:$Y4)),0)</f>
        <v>1</v>
      </c>
      <c r="Z5" s="251" t="str">
        <f ca="1">INDEX(INDIRECT(CT_APtoC1!$G$3),1,SUM($Y$4:$Y5))</f>
        <v>AirLancer Cable NJ-NP 6m</v>
      </c>
      <c r="AA5" s="184">
        <f ca="1">MATCH(TRUE,OFFSET(INDIRECT(INDEX(INDIRECT(CT_C1toANT!$B$4),0,MATCH(SelectionTables!$U$4,INDIRECT(CT_C1toANT!$G$3),0))),SUM(AA$4:AA4),0,ProductTable!$M$2-SUM(AA$4:AA4)),0)</f>
        <v>1</v>
      </c>
      <c r="AB5" s="251" t="str">
        <f ca="1">IF(ISERROR(AA5),"",INDEX(INDIRECT(CT_C1toANT!$G$2),SUM(AA$4:AA5)))</f>
        <v>AirLancer Cable NJ-NP 6m</v>
      </c>
      <c r="AC5" s="184" t="b">
        <f t="shared" ref="AC5:AC45" ca="1" si="1">IF(ISERROR(MATCH($Z5,INDIRECT($AB$3),0)),FALSE,TRUE)</f>
        <v>1</v>
      </c>
      <c r="AD5" s="184">
        <f ca="1">MATCH(TRUE,OFFSET(INDIRECT(AC$3),SUM(AD$4:AD4),0),0)</f>
        <v>1</v>
      </c>
      <c r="AE5" s="184" t="str">
        <f ca="1">INDEX(INDIRECT($Z$3),SUM($AD$4:$AD5))</f>
        <v>AirLancer Cable NJ-NP 6m</v>
      </c>
      <c r="AF5" s="184" t="b">
        <f ca="1">IF(ISERROR(MATCH(AE5,INDIRECT(ProductTable!$O$4),0)),FALSE,TRUE)</f>
        <v>1</v>
      </c>
      <c r="AG5" s="184">
        <f ca="1">MATCH(TRUE,OFFSET(INDIRECT($AF$3),SUM($AG$4:$AG4),0),0)</f>
        <v>1</v>
      </c>
      <c r="AH5" s="184" t="str">
        <f ca="1">IF(ISERROR(AG5),"",INDEX(INDIRECT($AE$3),SUM($AG$4:$AG5)))</f>
        <v>AirLancer Cable NJ-NP 6m</v>
      </c>
      <c r="AJ5" s="184">
        <f ca="1">MATCH(TRUE,OFFSET(INDIRECT(INDEX(INDIRECT(CT_SAtoC1!$A$5),MATCH(SelectionTables!$V$4,INDIRECT(CT_SAtoC1!$G$2),0),0)),0,SUM($AJ$4:$AJ4),1,ProductTable!$C$2-SUM($AJ$4:$AJ4)),0)</f>
        <v>1</v>
      </c>
      <c r="AK5" s="251" t="str">
        <f ca="1">INDEX(INDIRECT(CT_SAtoC1!$G$3),1,SUM($AJ$4:$AJ5))</f>
        <v>AirLancer Cable NJ-NP 6m</v>
      </c>
      <c r="AL5" s="184">
        <f ca="1">MATCH(TRUE,OFFSET(INDIRECT(INDEX(INDIRECT(CT_C1toANT!$B$4),0,MATCH(SelectionTables!$U$4,INDIRECT(CT_C1toANT!$G$3),0))),SUM(AL$4:AL4),0,ProductTable!$M$2-SUM(AL$4:AL4)),0)</f>
        <v>1</v>
      </c>
      <c r="AM5" s="251" t="str">
        <f ca="1">IF(ISERROR(AL5),"",INDEX(INDIRECT(CT_C1toANT!$G$2),SUM(AL$4:AL5)))</f>
        <v>AirLancer Cable NJ-NP 6m</v>
      </c>
      <c r="AN5" s="184" t="b">
        <f t="shared" ca="1" si="0"/>
        <v>1</v>
      </c>
      <c r="AO5" s="184">
        <f ca="1">MATCH(TRUE,OFFSET(INDIRECT(AN$3),SUM(AO$4:AO4),0),0)</f>
        <v>1</v>
      </c>
      <c r="AP5" s="184" t="str">
        <f ca="1">INDEX(INDIRECT(AK$3),SUM(AO$4:AO5))</f>
        <v>AirLancer Cable NJ-NP 6m</v>
      </c>
      <c r="AQ5" s="184" t="b">
        <f ca="1">IF(ISERROR(MATCH(AP5,INDIRECT(ProductTable!$AI$4),0)),FALSE,TRUE)</f>
        <v>1</v>
      </c>
      <c r="AR5" s="184">
        <f ca="1">MATCH(TRUE,OFFSET(INDIRECT($AQ$3),SUM($AR$4:$AR4),0),0)</f>
        <v>1</v>
      </c>
      <c r="AS5" s="184" t="str">
        <f ca="1">IF(ISERROR(AR5),"",INDEX(INDIRECT(AP$3),SUM(AR$4:AR5)))</f>
        <v>AirLancer Cable NJ-NP 6m</v>
      </c>
      <c r="AU5" s="184" t="str">
        <f ca="1">IF(OR(EXACT(SelectionTables!$T$4,ProductTable!$L$7),EXACT(SelectionTables!$T$4,"")),"",ProductTable!T8)</f>
        <v>AirLancer SN-ANT</v>
      </c>
      <c r="AW5" s="540">
        <f ca="1">MATCH(TRUE,OFFSET(INDIRECT(INDEX(INDIRECT(CT_STAtoANT!$A$5),MATCH(SelectionTables!$G$4,INDIRECT(CT_STAtoANT!$G$2),0),0)),0,SUM($AW$4:$AW4),1,ProductTable!$H$2-SUM($AW$4:$AW4)),0)</f>
        <v>1</v>
      </c>
      <c r="AX5" s="541" t="str">
        <f ca="1">INDEX(INDIRECT(CT_STAtoANT!$G$3),1,SUM($AW$4:$AW5))</f>
        <v>AirLancer ON-D9a</v>
      </c>
      <c r="AY5" s="541" t="b">
        <f ca="1">IF(ISERROR(MATCH(AX5,INDIRECT(ProductTable!$J$4),0)),FALSE,TRUE)</f>
        <v>1</v>
      </c>
      <c r="AZ5" s="541">
        <f ca="1">MATCH(TRUE,OFFSET(INDIRECT($AY$3),SUM($AZ$4:$AZ4),0,ProductTable!$H$2-SUM($AZ$4:$AZ4),1),0)</f>
        <v>1</v>
      </c>
      <c r="BA5" s="541" t="str">
        <f ca="1">IF(ISERROR($AZ5),"",INDEX(INDIRECT($AX$3),SUM($AZ$4:$AZ5)))</f>
        <v>AirLancer ON-D9a</v>
      </c>
      <c r="BB5" s="541">
        <f ca="1">MATCH(TRUE,OFFSET(INDIRECT(INDEX(INDIRECT(CT_APtoANT!$A$5),MATCH(SelectionTables!$S$4,INDIRECT(CT_APtoANT!$G$2),0),0)),0,SUM($BB$4:$BB4),1,ProductTable!$H$2-SUM($BB$4:$BB4)),0)</f>
        <v>1</v>
      </c>
      <c r="BC5" s="541" t="str">
        <f ca="1">INDEX(INDIRECT(CT_APtoANT!$G$3),1,SUM($BB$4:$BB5))</f>
        <v>AirLancer ON-D9a</v>
      </c>
      <c r="BD5" s="541" t="b">
        <f t="shared" ref="BD5:BD45" ca="1" si="2">IF(ISERROR(MATCH(BA5,INDIRECT($BC$3),0)),FALSE,TRUE)</f>
        <v>1</v>
      </c>
      <c r="BE5" s="541">
        <f ca="1">MATCH(TRUE,OFFSET(INDIRECT($BD$3),SUM($BE$4:$BE4),0,ProductTable!$H$2-SUM($BE$4:$BE4),1),0)</f>
        <v>1</v>
      </c>
      <c r="BF5" s="541" t="str">
        <f ca="1">IF(ISERROR($BE5),"",INDEX(INDIRECT($BA$3),SUM($BE$4:$BE5)))</f>
        <v>AirLancer ON-D9a</v>
      </c>
      <c r="BH5" s="541">
        <f ca="1">MATCH(TRUE,OFFSET(INDIRECT(INDEX(INDIRECT(CT_APtoC1!$A$5),MATCH(SelectionTables!$S$4,INDIRECT(CT_APtoC1!$G$2),0),0)),0,SUM($BH$4:$BH4),1,ProductTable!$AG$2-SUM($BH$4:$BH4)),0)</f>
        <v>1</v>
      </c>
      <c r="BI5" s="541" t="str">
        <f ca="1">INDEX(INDIRECT(CT_APtoC1!$G$3),1,SUM($BH$4:$BH5))</f>
        <v>AirLancer Cable NJ-NP 6m</v>
      </c>
      <c r="BJ5" s="541" t="b">
        <f ca="1">IF(ISERROR(MATCH(BI5,INDIRECT(ProductTable!$AI$4),0)),FALSE,TRUE)</f>
        <v>1</v>
      </c>
      <c r="BK5" s="541">
        <f ca="1">MATCH(TRUE,OFFSET(INDIRECT($BJ$3),SUM($BK$4:$BK4),0,ProductTable!$AG$2-SUM($BK$4:$BK4),1),0)</f>
        <v>1</v>
      </c>
      <c r="BL5" s="541" t="str">
        <f ca="1">IF(ISERROR($BK5),"",INDEX(INDIRECT($BI$3),SUM($BK$4:$BK5)))</f>
        <v>AirLancer Cable NJ-NP 6m</v>
      </c>
    </row>
    <row r="6" spans="2:64" x14ac:dyDescent="0.25">
      <c r="B6" s="184">
        <f ca="1">MATCH(TRUE,OFFSET(INDIRECT(INDEX(INDIRECT(CT_APtoSTA!$B$4),0,MATCH(SelectionTables!$G$4,INDIRECT(CT_APtoSTA!$G$3),0))),SUM($B$4:$B5),0,ProductTable!$C$2-SUM($B$4:$B5)),0)</f>
        <v>1</v>
      </c>
      <c r="C6" s="184" t="str">
        <f ca="1">INDEX(INDIRECT(CT_APtoSTA!$G$2),SUM($B$4:$B6))</f>
        <v>LANCOM OAP-822</v>
      </c>
      <c r="D6" s="184" t="b">
        <f ca="1">IF(ISERROR(MATCH(C6,INDIRECT(ProductTable!$E$4),0)),FALSE,TRUE)</f>
        <v>1</v>
      </c>
      <c r="E6" s="184">
        <f ca="1">MATCH(TRUE,OFFSET(INDIRECT($D$3),SUM($E$4:$E5),0,ProductTable!$C$2-SUM($E$4:$E5),1),0)</f>
        <v>1</v>
      </c>
      <c r="F6" s="184" t="str">
        <f ca="1">IF(ISERROR($E6),"",INDEX(INDIRECT($C$3),SUM($E$4:$E6)))</f>
        <v>LANCOM OAP-822</v>
      </c>
      <c r="G6" s="92"/>
      <c r="H6" s="268">
        <f ca="1">MATCH(TRUE,OFFSET(INDIRECT(INDEX(INDIRECT(CT_STAtoWLAN!$A$5),MATCH(SelectionTables!$G$4,INDIRECT(CT_STAtoWLAN!$G$2),0),0)),0,SUM($H$4:$H5),1,ProductTable!$W$2-SUM($H$4:$H5)),0)</f>
        <v>2</v>
      </c>
      <c r="I6" s="251" t="str">
        <f ca="1">INDEX(INDIRECT(CT_STAtoWLAN!$G$3),1,SUM($H$4:$H6))</f>
        <v>QCA9880 (2x2)</v>
      </c>
      <c r="J6" s="268" t="e">
        <f ca="1">MATCH(TRUE,OFFSET(INDIRECT(INDEX(INDIRECT(CT_APtoWLAN!$A$5),MATCH(SelectionTables!$S$4,INDIRECT(CT_APtoWLAN!$G$2),0),0)),0,SUM($J$4:$J5),1,ProductTable!$W$2-SUM($J$4:$J5)),0)</f>
        <v>#REF!</v>
      </c>
      <c r="K6" s="251" t="e">
        <f ca="1">INDEX(INDIRECT(CT_APtoWLAN!$G$3),1,SUM($J$4:$J6))</f>
        <v>#REF!</v>
      </c>
      <c r="L6" s="268" t="b">
        <f ca="1">IF(ISERROR(MATCH(I6,INDIRECT(K$3),0)),FALSE,TRUE)</f>
        <v>0</v>
      </c>
      <c r="M6" s="184" t="e">
        <f ca="1">MATCH(TRUE,OFFSET(INDIRECT(L$3),SUM(M$4:M5),0),0)</f>
        <v>#N/A</v>
      </c>
      <c r="N6" s="251" t="e">
        <f ca="1">INDEX(INDIRECT(I$3),SUM(M$4:M6))</f>
        <v>#N/A</v>
      </c>
      <c r="O6" s="184" t="b">
        <f ca="1">IF(ISERROR(MATCH(N6,INDIRECT(ProductTable!$Y$4),0)),FALSE,TRUE)</f>
        <v>0</v>
      </c>
      <c r="P6" s="184" t="e">
        <f ca="1">MATCH(TRUE,OFFSET(INDIRECT(O$3),SUM(P$4:P5),0),0)</f>
        <v>#N/A</v>
      </c>
      <c r="Q6" s="184" t="str">
        <f ca="1">IF(ISERROR(P6),"",INDEX(INDIRECT(N$3),SUM($P$4:$P6)))</f>
        <v/>
      </c>
      <c r="S6" s="134">
        <f ca="1">MATCH(TRUE,OFFSET(INDIRECT(INDEX(INDIRECT(CT_STAtoANT!$A$5),MATCH(SelectionTables!$G$4,INDIRECT(CT_STAtoANT!$G$2),0),0)),0,SUM($S$4:$S5),1,ProductTable!$H$2-SUM($S$4:$S5)),0)</f>
        <v>1</v>
      </c>
      <c r="T6" s="184" t="str">
        <f ca="1">INDEX(INDIRECT(CT_STAtoANT!$G$3),1,SUM($S$4:$S6))</f>
        <v>AirLancer ON-360ag</v>
      </c>
      <c r="U6" s="184" t="b">
        <f ca="1">IF(ISERROR(MATCH(T6,INDIRECT(ProductTable!$J$4),0)),FALSE,TRUE)</f>
        <v>1</v>
      </c>
      <c r="V6" s="184">
        <f ca="1">MATCH(TRUE,OFFSET(INDIRECT($U$3),SUM($V$4:$V5),0,ProductTable!$H$2-SUM($V$4:$V5),1),0)</f>
        <v>1</v>
      </c>
      <c r="W6" s="184" t="str">
        <f ca="1">IF(ISERROR($V6),"",INDEX(INDIRECT($T$3),SUM($V$4:$V6)))</f>
        <v>AirLancer ON-360ag</v>
      </c>
      <c r="Y6" s="184">
        <f ca="1">MATCH(TRUE,OFFSET(INDIRECT(INDEX(INDIRECT(CT_APtoC1!$A$5),MATCH(SelectionTables!$S$4,INDIRECT(CT_APtoC1!$G$2),0),0)),0,SUM($Y$4:$Y5),1,ProductTable!$C$2-SUM($Y$4:$Y5)),0)</f>
        <v>1</v>
      </c>
      <c r="Z6" s="251" t="str">
        <f ca="1">INDEX(INDIRECT(CT_APtoC1!$G$3),1,SUM($Y$4:$Y6))</f>
        <v>AirLancer Cable NJ-NP 9m</v>
      </c>
      <c r="AA6" s="184">
        <f ca="1">MATCH(TRUE,OFFSET(INDIRECT(INDEX(INDIRECT(CT_C1toANT!$B$4),0,MATCH(SelectionTables!$U$4,INDIRECT(CT_C1toANT!$G$3),0))),SUM(AA$4:AA5),0,ProductTable!$M$2-SUM(AA$4:AA5)),0)</f>
        <v>1</v>
      </c>
      <c r="AB6" s="251" t="str">
        <f ca="1">IF(ISERROR(AA6),"",INDEX(INDIRECT(CT_C1toANT!$G$2),SUM(AA$4:AA6)))</f>
        <v>AirLancer Cable NJ-NP 9m</v>
      </c>
      <c r="AC6" s="184" t="b">
        <f t="shared" ca="1" si="1"/>
        <v>1</v>
      </c>
      <c r="AD6" s="184">
        <f ca="1">MATCH(TRUE,OFFSET(INDIRECT($AC$3),SUM($AD$4:$AD5),0),0)</f>
        <v>1</v>
      </c>
      <c r="AE6" s="184" t="str">
        <f ca="1">INDEX(INDIRECT($Z$3),SUM($AD$4:$AD6))</f>
        <v>AirLancer Cable NJ-NP 9m</v>
      </c>
      <c r="AF6" s="184" t="b">
        <f ca="1">IF(ISERROR(MATCH(AE6,INDIRECT(ProductTable!$O$4),0)),FALSE,TRUE)</f>
        <v>1</v>
      </c>
      <c r="AG6" s="184">
        <f ca="1">MATCH(TRUE,OFFSET(INDIRECT($AF$3),SUM($AG$4:$AG5),0),0)</f>
        <v>1</v>
      </c>
      <c r="AH6" s="184" t="str">
        <f ca="1">IF(ISERROR(AG6),"",INDEX(INDIRECT($AE$3),SUM($AG$4:$AG6)))</f>
        <v>AirLancer Cable NJ-NP 9m</v>
      </c>
      <c r="AJ6" s="184">
        <f ca="1">MATCH(TRUE,OFFSET(INDIRECT(INDEX(INDIRECT(CT_SAtoC1!$A$5),MATCH(SelectionTables!$V$4,INDIRECT(CT_SAtoC1!$G$2),0),0)),0,SUM($AJ$4:$AJ5),1,ProductTable!$C$2-SUM($AJ$4:$AJ5)),0)</f>
        <v>1</v>
      </c>
      <c r="AK6" s="251" t="str">
        <f ca="1">INDEX(INDIRECT(CT_SAtoC1!$G$3),1,SUM($AJ$4:$AJ6))</f>
        <v>AirLancer Cable NJ-NP 9m</v>
      </c>
      <c r="AL6" s="184">
        <f ca="1">MATCH(TRUE,OFFSET(INDIRECT(INDEX(INDIRECT(CT_C1toANT!$B$4),0,MATCH(SelectionTables!$U$4,INDIRECT(CT_C1toANT!$G$3),0))),SUM(AL$4:AL5),0,ProductTable!$M$2-SUM(AL$4:AL5)),0)</f>
        <v>1</v>
      </c>
      <c r="AM6" s="251" t="str">
        <f ca="1">IF(ISERROR(AL6),"",INDEX(INDIRECT(CT_C1toANT!$G$2),SUM(AL$4:AL6)))</f>
        <v>AirLancer Cable NJ-NP 9m</v>
      </c>
      <c r="AN6" s="184" t="b">
        <f t="shared" ca="1" si="0"/>
        <v>1</v>
      </c>
      <c r="AO6" s="184">
        <f ca="1">MATCH(TRUE,OFFSET(INDIRECT(AN$3),SUM(AO$4:AO5),0),0)</f>
        <v>1</v>
      </c>
      <c r="AP6" s="184" t="str">
        <f ca="1">INDEX(INDIRECT(AK$3),SUM(AO$4:AO6))</f>
        <v>AirLancer Cable NJ-NP 9m</v>
      </c>
      <c r="AQ6" s="184" t="b">
        <f ca="1">IF(ISERROR(MATCH(AP6,INDIRECT(ProductTable!$AI$4),0)),FALSE,TRUE)</f>
        <v>1</v>
      </c>
      <c r="AR6" s="184">
        <f ca="1">MATCH(TRUE,OFFSET(INDIRECT($AQ$3),SUM($AR$4:$AR5),0),0)</f>
        <v>1</v>
      </c>
      <c r="AS6" s="184" t="str">
        <f ca="1">IF(ISERROR(AR6),"",INDEX(INDIRECT(AP$3),SUM(AR$4:AR6)))</f>
        <v>AirLancer Cable NJ-NP 9m</v>
      </c>
      <c r="AU6" s="184" t="str">
        <f ca="1">IF(OR(EXACT(SelectionTables!$T$4,ProductTable!$L$7),EXACT(SelectionTables!$T$4,"")),"",ProductTable!T9)</f>
        <v/>
      </c>
      <c r="AW6" s="540">
        <f ca="1">MATCH(TRUE,OFFSET(INDIRECT(INDEX(INDIRECT(CT_STAtoANT!$A$5),MATCH(SelectionTables!$G$4,INDIRECT(CT_STAtoANT!$G$2),0),0)),0,SUM($AW$4:$AW5),1,ProductTable!$H$2-SUM($AW$4:$AW5)),0)</f>
        <v>1</v>
      </c>
      <c r="AX6" s="541" t="str">
        <f ca="1">INDEX(INDIRECT(CT_STAtoANT!$G$3),1,SUM($AW$4:$AW6))</f>
        <v>AirLancer ON-360ag</v>
      </c>
      <c r="AY6" s="541" t="b">
        <f ca="1">IF(ISERROR(MATCH(AX6,INDIRECT(ProductTable!$J$4),0)),FALSE,TRUE)</f>
        <v>1</v>
      </c>
      <c r="AZ6" s="541">
        <f ca="1">MATCH(TRUE,OFFSET(INDIRECT($AY$3),SUM($AZ$4:$AZ5),0,ProductTable!$H$2-SUM($AZ$4:$AZ5),1),0)</f>
        <v>1</v>
      </c>
      <c r="BA6" s="541" t="str">
        <f ca="1">IF(ISERROR($AZ6),"",INDEX(INDIRECT($AX$3),SUM($AZ$4:$AZ6)))</f>
        <v>AirLancer ON-360ag</v>
      </c>
      <c r="BB6" s="541">
        <f ca="1">MATCH(TRUE,OFFSET(INDIRECT(INDEX(INDIRECT(CT_APtoANT!$A$5),MATCH(SelectionTables!$S$4,INDIRECT(CT_APtoANT!$G$2),0),0)),0,SUM($BB$4:$BB5),1,ProductTable!$H$2-SUM($BB$4:$BB5)),0)</f>
        <v>1</v>
      </c>
      <c r="BC6" s="541" t="str">
        <f ca="1">INDEX(INDIRECT(CT_APtoANT!$G$3),1,SUM($BB$4:$BB6))</f>
        <v>AirLancer ON-360ag</v>
      </c>
      <c r="BD6" s="541" t="b">
        <f t="shared" ca="1" si="2"/>
        <v>1</v>
      </c>
      <c r="BE6" s="541">
        <f ca="1">MATCH(TRUE,OFFSET(INDIRECT($BD$3),SUM($BE$4:$BE5),0,ProductTable!$H$2-SUM($BE$4:$BE5),1),0)</f>
        <v>1</v>
      </c>
      <c r="BF6" s="541" t="str">
        <f ca="1">IF(ISERROR($BE6),"",INDEX(INDIRECT($BA$3),SUM($BE$4:$BE6)))</f>
        <v>AirLancer ON-360ag</v>
      </c>
      <c r="BH6" s="541">
        <f ca="1">MATCH(TRUE,OFFSET(INDIRECT(INDEX(INDIRECT(CT_APtoC1!$A$5),MATCH(SelectionTables!$S$4,INDIRECT(CT_APtoC1!$G$2),0),0)),0,SUM($BH$4:$BH5),1,ProductTable!$AG$2-SUM($BH$4:$BH5)),0)</f>
        <v>1</v>
      </c>
      <c r="BI6" s="541" t="str">
        <f ca="1">INDEX(INDIRECT(CT_APtoC1!$G$3),1,SUM($BH$4:$BH6))</f>
        <v>AirLancer Cable NJ-NP 9m</v>
      </c>
      <c r="BJ6" s="541" t="b">
        <f ca="1">IF(ISERROR(MATCH(BI6,INDIRECT(ProductTable!$AI$4),0)),FALSE,TRUE)</f>
        <v>1</v>
      </c>
      <c r="BK6" s="541">
        <f ca="1">MATCH(TRUE,OFFSET(INDIRECT($BJ$3),SUM($BK$4:$BK5),0,ProductTable!$AG$2-SUM($BK$4:$BK5),1),0)</f>
        <v>1</v>
      </c>
      <c r="BL6" s="541" t="str">
        <f ca="1">IF(ISERROR($BK6),"",INDEX(INDIRECT($BI$3),SUM($BK$4:$BK6)))</f>
        <v>AirLancer Cable NJ-NP 9m</v>
      </c>
    </row>
    <row r="7" spans="2:64" x14ac:dyDescent="0.25">
      <c r="B7" s="184">
        <f ca="1">MATCH(TRUE,OFFSET(INDIRECT(INDEX(INDIRECT(CT_APtoSTA!$B$4),0,MATCH(SelectionTables!$G$4,INDIRECT(CT_APtoSTA!$G$3),0))),SUM($B$4:$B6),0,ProductTable!$C$2-SUM($B$4:$B6)),0)</f>
        <v>1</v>
      </c>
      <c r="C7" s="184" t="str">
        <f ca="1">INDEX(INDIRECT(CT_APtoSTA!$G$2),SUM($B$4:$B7))</f>
        <v>LANCOM OAP-821</v>
      </c>
      <c r="D7" s="184" t="b">
        <f ca="1">IF(ISERROR(MATCH(C7,INDIRECT(ProductTable!$E$4),0)),FALSE,TRUE)</f>
        <v>1</v>
      </c>
      <c r="E7" s="184">
        <f ca="1">MATCH(TRUE,OFFSET(INDIRECT($D$3),SUM($E$4:$E6),0,ProductTable!$C$2-SUM($E$4:$E6),1),0)</f>
        <v>1</v>
      </c>
      <c r="F7" s="184" t="str">
        <f ca="1">IF(ISERROR($E7),"",INDEX(INDIRECT($C$3),SUM($E$4:$E7)))</f>
        <v>LANCOM OAP-821</v>
      </c>
      <c r="G7" s="92"/>
      <c r="H7" s="268">
        <f ca="1">MATCH(TRUE,OFFSET(INDIRECT(INDEX(INDIRECT(CT_STAtoWLAN!$A$5),MATCH(SelectionTables!$G$4,INDIRECT(CT_STAtoWLAN!$G$2),0),0)),0,SUM($H$4:$H6),1,ProductTable!$W$2-SUM($H$4:$H6)),0)</f>
        <v>1</v>
      </c>
      <c r="I7" s="251" t="str">
        <f ca="1">INDEX(INDIRECT(CT_STAtoWLAN!$G$3),1,SUM($H$4:$H7))</f>
        <v>QCA9984</v>
      </c>
      <c r="J7" s="268" t="e">
        <f ca="1">MATCH(TRUE,OFFSET(INDIRECT(INDEX(INDIRECT(CT_APtoWLAN!$A$5),MATCH(SelectionTables!$S$4,INDIRECT(CT_APtoWLAN!$G$2),0),0)),0,SUM($J$4:$J6),1,ProductTable!$W$2-SUM($J$4:$J6)),0)</f>
        <v>#REF!</v>
      </c>
      <c r="K7" s="251" t="e">
        <f ca="1">INDEX(INDIRECT(CT_APtoWLAN!$G$3),1,SUM($J$4:$J7))</f>
        <v>#REF!</v>
      </c>
      <c r="L7" s="268" t="b">
        <f t="shared" ref="L7:L45" ca="1" si="3">IF(ISERROR(MATCH(I7,INDIRECT(K$3),0)),FALSE,TRUE)</f>
        <v>0</v>
      </c>
      <c r="M7" s="184" t="e">
        <f ca="1">MATCH(TRUE,OFFSET(INDIRECT(L$3),SUM(M$4:M6),0),0)</f>
        <v>#N/A</v>
      </c>
      <c r="N7" s="251" t="e">
        <f ca="1">INDEX(INDIRECT(I$3),SUM(M$4:M7))</f>
        <v>#N/A</v>
      </c>
      <c r="O7" s="184" t="b">
        <f ca="1">IF(ISERROR(MATCH(N7,INDIRECT(ProductTable!$Y$4),0)),FALSE,TRUE)</f>
        <v>0</v>
      </c>
      <c r="P7" s="184" t="e">
        <f ca="1">MATCH(TRUE,OFFSET(INDIRECT(O$3),SUM(P$4:P6),0),0)</f>
        <v>#N/A</v>
      </c>
      <c r="Q7" s="184" t="str">
        <f ca="1">IF(ISERROR(P7),"",INDEX(INDIRECT(N$3),SUM($P$4:$P7)))</f>
        <v/>
      </c>
      <c r="S7" s="134">
        <f ca="1">MATCH(TRUE,OFFSET(INDIRECT(INDEX(INDIRECT(CT_STAtoANT!$A$5),MATCH(SelectionTables!$G$4,INDIRECT(CT_STAtoANT!$G$2),0),0)),0,SUM($S$4:$S6),1,ProductTable!$H$2-SUM($S$4:$S6)),0)</f>
        <v>1</v>
      </c>
      <c r="T7" s="184" t="str">
        <f ca="1">INDEX(INDIRECT(CT_STAtoANT!$G$3),1,SUM($S$4:$S7))</f>
        <v>AirLancer ON-T60ag</v>
      </c>
      <c r="U7" s="184" t="b">
        <f ca="1">IF(ISERROR(MATCH(T7,INDIRECT(ProductTable!$J$4),0)),FALSE,TRUE)</f>
        <v>1</v>
      </c>
      <c r="V7" s="184">
        <f ca="1">MATCH(TRUE,OFFSET(INDIRECT($U$3),SUM($V$4:$V6),0,ProductTable!$H$2-SUM($V$4:$V6),1),0)</f>
        <v>1</v>
      </c>
      <c r="W7" s="184" t="str">
        <f ca="1">IF(ISERROR($V7),"",INDEX(INDIRECT($T$3),SUM($V$4:$V7)))</f>
        <v>AirLancer ON-T60ag</v>
      </c>
      <c r="Y7" s="184">
        <f ca="1">MATCH(TRUE,OFFSET(INDIRECT(INDEX(INDIRECT(CT_APtoC1!$A$5),MATCH(SelectionTables!$S$4,INDIRECT(CT_APtoC1!$G$2),0),0)),0,SUM($Y$4:$Y6),1,ProductTable!$C$2-SUM($Y$4:$Y6)),0)</f>
        <v>1</v>
      </c>
      <c r="Z7" s="251" t="str">
        <f ca="1">INDEX(INDIRECT(CT_APtoC1!$G$3),1,SUM($Y$4:$Y7))</f>
        <v>O-30-Cable 9m</v>
      </c>
      <c r="AA7" s="184">
        <f ca="1">MATCH(TRUE,OFFSET(INDIRECT(INDEX(INDIRECT(CT_C1toANT!$B$4),0,MATCH(SelectionTables!$U$4,INDIRECT(CT_C1toANT!$G$3),0))),SUM(AA$4:AA6),0,ProductTable!$M$2-SUM(AA$4:AA6)),0)</f>
        <v>11</v>
      </c>
      <c r="AB7" s="251" t="str">
        <f ca="1">IF(ISERROR(AA7),"",INDEX(INDIRECT(CT_C1toANT!$G$2),SUM(AA$4:AA7)))</f>
        <v>Other cable</v>
      </c>
      <c r="AC7" s="184" t="b">
        <f t="shared" ca="1" si="1"/>
        <v>0</v>
      </c>
      <c r="AD7" s="184" t="e">
        <f ca="1">MATCH(TRUE,OFFSET(INDIRECT($AC$3),SUM($AD$4:$AD6),0),0)</f>
        <v>#N/A</v>
      </c>
      <c r="AE7" s="184" t="e">
        <f ca="1">INDEX(INDIRECT($Z$3),SUM($AD$4:$AD7))</f>
        <v>#N/A</v>
      </c>
      <c r="AF7" s="184" t="b">
        <f ca="1">IF(ISERROR(MATCH(AE7,INDIRECT(ProductTable!$O$4),0)),FALSE,TRUE)</f>
        <v>0</v>
      </c>
      <c r="AG7" s="184" t="e">
        <f ca="1">MATCH(TRUE,OFFSET(INDIRECT($AF$3),SUM($AG$4:$AG6),0),0)</f>
        <v>#N/A</v>
      </c>
      <c r="AH7" s="184" t="str">
        <f ca="1">IF(ISERROR(AG7),"",INDEX(INDIRECT($AE$3),SUM($AG$4:$AG7)))</f>
        <v/>
      </c>
      <c r="AJ7" s="184">
        <f ca="1">MATCH(TRUE,OFFSET(INDIRECT(INDEX(INDIRECT(CT_SAtoC1!$A$5),MATCH(SelectionTables!$V$4,INDIRECT(CT_SAtoC1!$G$2),0),0)),0,SUM($AJ$4:$AJ6),1,ProductTable!$C$2-SUM($AJ$4:$AJ6)),0)</f>
        <v>1</v>
      </c>
      <c r="AK7" s="251" t="str">
        <f ca="1">INDEX(INDIRECT(CT_SAtoC1!$G$3),1,SUM($AJ$4:$AJ7))</f>
        <v>O-30-Cable 9m</v>
      </c>
      <c r="AL7" s="184">
        <f ca="1">MATCH(TRUE,OFFSET(INDIRECT(INDEX(INDIRECT(CT_C1toANT!$B$4),0,MATCH(SelectionTables!$U$4,INDIRECT(CT_C1toANT!$G$3),0))),SUM(AL$4:AL6),0,ProductTable!$M$2-SUM(AL$4:AL6)),0)</f>
        <v>11</v>
      </c>
      <c r="AM7" s="251" t="str">
        <f ca="1">IF(ISERROR(AL7),"",INDEX(INDIRECT(CT_C1toANT!$G$2),SUM(AL$4:AL7)))</f>
        <v>Other cable</v>
      </c>
      <c r="AN7" s="184" t="b">
        <f t="shared" ca="1" si="0"/>
        <v>0</v>
      </c>
      <c r="AO7" s="184" t="e">
        <f ca="1">MATCH(TRUE,OFFSET(INDIRECT(AN$3),SUM(AO$4:AO6),0),0)</f>
        <v>#N/A</v>
      </c>
      <c r="AP7" s="184" t="e">
        <f ca="1">INDEX(INDIRECT(AK$3),SUM(AO$4:AO7))</f>
        <v>#N/A</v>
      </c>
      <c r="AQ7" s="184" t="b">
        <f ca="1">IF(ISERROR(MATCH(AP7,INDIRECT(ProductTable!$AI$4),0)),FALSE,TRUE)</f>
        <v>0</v>
      </c>
      <c r="AR7" s="184" t="e">
        <f ca="1">MATCH(TRUE,OFFSET(INDIRECT($AQ$3),SUM($AR$4:$AR6),0),0)</f>
        <v>#N/A</v>
      </c>
      <c r="AS7" s="184" t="str">
        <f ca="1">IF(ISERROR(AR7),"",INDEX(INDIRECT(AP$3),SUM(AR$4:AR7)))</f>
        <v/>
      </c>
      <c r="AU7" s="184" t="str">
        <f ca="1">IF(OR(EXACT(SelectionTables!$T$4,ProductTable!$L$7),EXACT(SelectionTables!$T$4,"")),"",ProductTable!T10)</f>
        <v/>
      </c>
      <c r="AW7" s="540">
        <f ca="1">MATCH(TRUE,OFFSET(INDIRECT(INDEX(INDIRECT(CT_STAtoANT!$A$5),MATCH(SelectionTables!$G$4,INDIRECT(CT_STAtoANT!$G$2),0),0)),0,SUM($AW$4:$AW6),1,ProductTable!$H$2-SUM($AW$4:$AW6)),0)</f>
        <v>1</v>
      </c>
      <c r="AX7" s="541" t="str">
        <f ca="1">INDEX(INDIRECT(CT_STAtoANT!$G$3),1,SUM($AW$4:$AW7))</f>
        <v>AirLancer ON-T60ag</v>
      </c>
      <c r="AY7" s="541" t="b">
        <f ca="1">IF(ISERROR(MATCH(AX7,INDIRECT(ProductTable!$J$4),0)),FALSE,TRUE)</f>
        <v>1</v>
      </c>
      <c r="AZ7" s="541">
        <f ca="1">MATCH(TRUE,OFFSET(INDIRECT($AY$3),SUM($AZ$4:$AZ6),0,ProductTable!$H$2-SUM($AZ$4:$AZ6),1),0)</f>
        <v>1</v>
      </c>
      <c r="BA7" s="541" t="str">
        <f ca="1">IF(ISERROR($AZ7),"",INDEX(INDIRECT($AX$3),SUM($AZ$4:$AZ7)))</f>
        <v>AirLancer ON-T60ag</v>
      </c>
      <c r="BB7" s="541">
        <f ca="1">MATCH(TRUE,OFFSET(INDIRECT(INDEX(INDIRECT(CT_APtoANT!$A$5),MATCH(SelectionTables!$S$4,INDIRECT(CT_APtoANT!$G$2),0),0)),0,SUM($BB$4:$BB6),1,ProductTable!$H$2-SUM($BB$4:$BB6)),0)</f>
        <v>1</v>
      </c>
      <c r="BC7" s="541" t="str">
        <f ca="1">INDEX(INDIRECT(CT_APtoANT!$G$3),1,SUM($BB$4:$BB7))</f>
        <v>AirLancer ON-T60ag</v>
      </c>
      <c r="BD7" s="541" t="b">
        <f t="shared" ca="1" si="2"/>
        <v>1</v>
      </c>
      <c r="BE7" s="541">
        <f ca="1">MATCH(TRUE,OFFSET(INDIRECT($BD$3),SUM($BE$4:$BE6),0,ProductTable!$H$2-SUM($BE$4:$BE6),1),0)</f>
        <v>1</v>
      </c>
      <c r="BF7" s="541" t="str">
        <f ca="1">IF(ISERROR($BE7),"",INDEX(INDIRECT($BA$3),SUM($BE$4:$BE7)))</f>
        <v>AirLancer ON-T60ag</v>
      </c>
      <c r="BH7" s="541">
        <f ca="1">MATCH(TRUE,OFFSET(INDIRECT(INDEX(INDIRECT(CT_APtoC1!$A$5),MATCH(SelectionTables!$S$4,INDIRECT(CT_APtoC1!$G$2),0),0)),0,SUM($BH$4:$BH6),1,ProductTable!$AG$2-SUM($BH$4:$BH6)),0)</f>
        <v>1</v>
      </c>
      <c r="BI7" s="541" t="str">
        <f ca="1">INDEX(INDIRECT(CT_APtoC1!$G$3),1,SUM($BH$4:$BH7))</f>
        <v>O-30-Cable 9m</v>
      </c>
      <c r="BJ7" s="541" t="b">
        <f ca="1">IF(ISERROR(MATCH(BI7,INDIRECT(ProductTable!$AI$4),0)),FALSE,TRUE)</f>
        <v>0</v>
      </c>
      <c r="BK7" s="541">
        <f ca="1">MATCH(TRUE,OFFSET(INDIRECT($BJ$3),SUM($BK$4:$BK6),0,ProductTable!$AG$2-SUM($BK$4:$BK6),1),0)</f>
        <v>13</v>
      </c>
      <c r="BL7" s="541" t="str">
        <f ca="1">IF(ISERROR($BK7),"",INDEX(INDIRECT($BI$3),SUM($BK$4:$BK7)))</f>
        <v>No cable</v>
      </c>
    </row>
    <row r="8" spans="2:64" x14ac:dyDescent="0.25">
      <c r="B8" s="184">
        <f ca="1">MATCH(TRUE,OFFSET(INDIRECT(INDEX(INDIRECT(CT_APtoSTA!$B$4),0,MATCH(SelectionTables!$G$4,INDIRECT(CT_APtoSTA!$G$3),0))),SUM($B$4:$B7),0,ProductTable!$C$2-SUM($B$4:$B7)),0)</f>
        <v>1</v>
      </c>
      <c r="C8" s="184" t="str">
        <f ca="1">INDEX(INDIRECT(CT_APtoSTA!$G$2),SUM($B$4:$B8))</f>
        <v>LANCOM OAP-830</v>
      </c>
      <c r="D8" s="184" t="b">
        <f ca="1">IF(ISERROR(MATCH(C8,INDIRECT(ProductTable!$E$4),0)),FALSE,TRUE)</f>
        <v>1</v>
      </c>
      <c r="E8" s="184">
        <f ca="1">MATCH(TRUE,OFFSET(INDIRECT($D$3),SUM($E$4:$E7),0,ProductTable!$C$2-SUM($E$4:$E7),1),0)</f>
        <v>1</v>
      </c>
      <c r="F8" s="184" t="str">
        <f ca="1">IF(ISERROR($E8),"",INDEX(INDIRECT($C$3),SUM($E$4:$E8)))</f>
        <v>LANCOM OAP-830</v>
      </c>
      <c r="G8" s="92"/>
      <c r="H8" s="268">
        <f ca="1">MATCH(TRUE,OFFSET(INDIRECT(INDEX(INDIRECT(CT_STAtoWLAN!$A$5),MATCH(SelectionTables!$G$4,INDIRECT(CT_STAtoWLAN!$G$2),0),0)),0,SUM($H$4:$H7),1,ProductTable!$W$2-SUM($H$4:$H7)),0)</f>
        <v>1</v>
      </c>
      <c r="I8" s="251" t="str">
        <f ca="1">INDEX(INDIRECT(CT_STAtoWLAN!$G$3),1,SUM($H$4:$H8))</f>
        <v>QCA9888</v>
      </c>
      <c r="J8" s="268" t="e">
        <f ca="1">MATCH(TRUE,OFFSET(INDIRECT(INDEX(INDIRECT(CT_APtoWLAN!$A$5),MATCH(SelectionTables!$S$4,INDIRECT(CT_APtoWLAN!$G$2),0),0)),0,SUM($J$4:$J7),1,ProductTable!$W$2-SUM($J$4:$J7)),0)</f>
        <v>#REF!</v>
      </c>
      <c r="K8" s="251" t="e">
        <f ca="1">INDEX(INDIRECT(CT_APtoWLAN!$G$3),1,SUM($J$4:$J8))</f>
        <v>#REF!</v>
      </c>
      <c r="L8" s="268" t="b">
        <f t="shared" ca="1" si="3"/>
        <v>0</v>
      </c>
      <c r="M8" s="184" t="e">
        <f ca="1">MATCH(TRUE,OFFSET(INDIRECT(L$3),SUM(M$4:M7),0),0)</f>
        <v>#N/A</v>
      </c>
      <c r="N8" s="251" t="e">
        <f ca="1">INDEX(INDIRECT(I$3),SUM(M$4:M8))</f>
        <v>#N/A</v>
      </c>
      <c r="O8" s="184" t="b">
        <f ca="1">IF(ISERROR(MATCH(N8,INDIRECT(ProductTable!$Y$4),0)),FALSE,TRUE)</f>
        <v>0</v>
      </c>
      <c r="P8" s="184" t="e">
        <f ca="1">MATCH(TRUE,OFFSET(INDIRECT(O$3),SUM(P$4:P7),0),0)</f>
        <v>#N/A</v>
      </c>
      <c r="Q8" s="184" t="str">
        <f ca="1">IF(ISERROR(P8),"",INDEX(INDIRECT(N$3),SUM($P$4:$P8)))</f>
        <v/>
      </c>
      <c r="S8" s="134">
        <f ca="1">MATCH(TRUE,OFFSET(INDIRECT(INDEX(INDIRECT(CT_STAtoANT!$A$5),MATCH(SelectionTables!$G$4,INDIRECT(CT_STAtoANT!$G$2),0),0)),0,SUM($S$4:$S7),1,ProductTable!$H$2-SUM($S$4:$S7)),0)</f>
        <v>1</v>
      </c>
      <c r="T8" s="184" t="str">
        <f ca="1">INDEX(INDIRECT(CT_STAtoANT!$G$3),1,SUM($S$4:$S8))</f>
        <v>AirLancer ON-T90ag</v>
      </c>
      <c r="U8" s="184" t="b">
        <f ca="1">IF(ISERROR(MATCH(T8,INDIRECT(ProductTable!$J$4),0)),FALSE,TRUE)</f>
        <v>1</v>
      </c>
      <c r="V8" s="184">
        <f ca="1">MATCH(TRUE,OFFSET(INDIRECT($U$3),SUM($V$4:$V7),0,ProductTable!$H$2-SUM($V$4:$V7),1),0)</f>
        <v>1</v>
      </c>
      <c r="W8" s="184" t="str">
        <f ca="1">IF(ISERROR($V8),"",INDEX(INDIRECT($T$3),SUM($V$4:$V8)))</f>
        <v>AirLancer ON-T90ag</v>
      </c>
      <c r="Y8" s="184">
        <f ca="1">MATCH(TRUE,OFFSET(INDIRECT(INDEX(INDIRECT(CT_APtoC1!$A$5),MATCH(SelectionTables!$S$4,INDIRECT(CT_APtoC1!$G$2),0),0)),0,SUM($Y$4:$Y7),1,ProductTable!$C$2-SUM($Y$4:$Y7)),0)</f>
        <v>1</v>
      </c>
      <c r="Z8" s="251" t="str">
        <f ca="1">INDEX(INDIRECT(CT_APtoC1!$G$3),1,SUM($Y$4:$Y8))</f>
        <v>O-70-Cable 6m</v>
      </c>
      <c r="AA8" s="184">
        <f ca="1">MATCH(TRUE,OFFSET(INDIRECT(INDEX(INDIRECT(CT_C1toANT!$B$4),0,MATCH(SelectionTables!$U$4,INDIRECT(CT_C1toANT!$G$3),0))),SUM(AA$4:AA7),0,ProductTable!$M$2-SUM(AA$4:AA7)),0)</f>
        <v>4</v>
      </c>
      <c r="AB8" s="251" t="str">
        <f ca="1">IF(ISERROR(AA8),"",INDEX(INDIRECT(CT_C1toANT!$G$2),SUM(AA$4:AA8)))</f>
        <v>Default cable</v>
      </c>
      <c r="AC8" s="184" t="b">
        <f t="shared" ca="1" si="1"/>
        <v>0</v>
      </c>
      <c r="AD8" s="184" t="e">
        <f ca="1">MATCH(TRUE,OFFSET(INDIRECT($AC$3),SUM($AD$4:$AD7),0),0)</f>
        <v>#N/A</v>
      </c>
      <c r="AE8" s="184" t="e">
        <f ca="1">INDEX(INDIRECT($Z$3),SUM($AD$4:$AD8))</f>
        <v>#N/A</v>
      </c>
      <c r="AF8" s="184" t="b">
        <f ca="1">IF(ISERROR(MATCH(AE8,INDIRECT(ProductTable!$O$4),0)),FALSE,TRUE)</f>
        <v>0</v>
      </c>
      <c r="AG8" s="184" t="e">
        <f ca="1">MATCH(TRUE,OFFSET(INDIRECT($AF$3),SUM($AG$4:$AG7),0),0)</f>
        <v>#N/A</v>
      </c>
      <c r="AH8" s="184" t="str">
        <f ca="1">IF(ISERROR(AG8),"",INDEX(INDIRECT($AE$3),SUM($AG$4:$AG8)))</f>
        <v/>
      </c>
      <c r="AJ8" s="184">
        <f ca="1">MATCH(TRUE,OFFSET(INDIRECT(INDEX(INDIRECT(CT_SAtoC1!$A$5),MATCH(SelectionTables!$V$4,INDIRECT(CT_SAtoC1!$G$2),0),0)),0,SUM($AJ$4:$AJ7),1,ProductTable!$C$2-SUM($AJ$4:$AJ7)),0)</f>
        <v>1</v>
      </c>
      <c r="AK8" s="251" t="str">
        <f ca="1">INDEX(INDIRECT(CT_SAtoC1!$G$3),1,SUM($AJ$4:$AJ8))</f>
        <v>O-70-Cable 6m</v>
      </c>
      <c r="AL8" s="184">
        <f ca="1">MATCH(TRUE,OFFSET(INDIRECT(INDEX(INDIRECT(CT_C1toANT!$B$4),0,MATCH(SelectionTables!$U$4,INDIRECT(CT_C1toANT!$G$3),0))),SUM(AL$4:AL7),0,ProductTable!$M$2-SUM(AL$4:AL7)),0)</f>
        <v>4</v>
      </c>
      <c r="AM8" s="251" t="str">
        <f ca="1">IF(ISERROR(AL8),"",INDEX(INDIRECT(CT_C1toANT!$G$2),SUM(AL$4:AL8)))</f>
        <v>Default cable</v>
      </c>
      <c r="AN8" s="184" t="b">
        <f t="shared" ca="1" si="0"/>
        <v>0</v>
      </c>
      <c r="AO8" s="184" t="e">
        <f ca="1">MATCH(TRUE,OFFSET(INDIRECT(AN$3),SUM(AO$4:AO7),0),0)</f>
        <v>#N/A</v>
      </c>
      <c r="AP8" s="184" t="e">
        <f ca="1">INDEX(INDIRECT(AK$3),SUM(AO$4:AO8))</f>
        <v>#N/A</v>
      </c>
      <c r="AQ8" s="184" t="b">
        <f ca="1">IF(ISERROR(MATCH(AP8,INDIRECT(ProductTable!$AI$4),0)),FALSE,TRUE)</f>
        <v>0</v>
      </c>
      <c r="AR8" s="184" t="e">
        <f ca="1">MATCH(TRUE,OFFSET(INDIRECT($AQ$3),SUM($AR$4:$AR7),0),0)</f>
        <v>#N/A</v>
      </c>
      <c r="AS8" s="184" t="str">
        <f ca="1">IF(ISERROR(AR8),"",INDEX(INDIRECT(AP$3),SUM(AR$4:AR8)))</f>
        <v/>
      </c>
      <c r="AU8" s="184" t="str">
        <f ca="1">IF(OR(EXACT(SelectionTables!$T$4,ProductTable!$L$7),EXACT(SelectionTables!$T$4,"")),"",ProductTable!T11)</f>
        <v/>
      </c>
      <c r="AW8" s="540">
        <f ca="1">MATCH(TRUE,OFFSET(INDIRECT(INDEX(INDIRECT(CT_STAtoANT!$A$5),MATCH(SelectionTables!$G$4,INDIRECT(CT_STAtoANT!$G$2),0),0)),0,SUM($AW$4:$AW7),1,ProductTable!$H$2-SUM($AW$4:$AW7)),0)</f>
        <v>1</v>
      </c>
      <c r="AX8" s="541" t="str">
        <f ca="1">INDEX(INDIRECT(CT_STAtoANT!$G$3),1,SUM($AW$4:$AW8))</f>
        <v>AirLancer ON-T90ag</v>
      </c>
      <c r="AY8" s="541" t="b">
        <f ca="1">IF(ISERROR(MATCH(AX8,INDIRECT(ProductTable!$J$4),0)),FALSE,TRUE)</f>
        <v>1</v>
      </c>
      <c r="AZ8" s="541">
        <f ca="1">MATCH(TRUE,OFFSET(INDIRECT($AY$3),SUM($AZ$4:$AZ7),0,ProductTable!$H$2-SUM($AZ$4:$AZ7),1),0)</f>
        <v>1</v>
      </c>
      <c r="BA8" s="541" t="str">
        <f ca="1">IF(ISERROR($AZ8),"",INDEX(INDIRECT($AX$3),SUM($AZ$4:$AZ8)))</f>
        <v>AirLancer ON-T90ag</v>
      </c>
      <c r="BB8" s="541">
        <f ca="1">MATCH(TRUE,OFFSET(INDIRECT(INDEX(INDIRECT(CT_APtoANT!$A$5),MATCH(SelectionTables!$S$4,INDIRECT(CT_APtoANT!$G$2),0),0)),0,SUM($BB$4:$BB7),1,ProductTable!$H$2-SUM($BB$4:$BB7)),0)</f>
        <v>1</v>
      </c>
      <c r="BC8" s="541" t="str">
        <f ca="1">INDEX(INDIRECT(CT_APtoANT!$G$3),1,SUM($BB$4:$BB8))</f>
        <v>AirLancer ON-T90ag</v>
      </c>
      <c r="BD8" s="541" t="b">
        <f t="shared" ca="1" si="2"/>
        <v>1</v>
      </c>
      <c r="BE8" s="541">
        <f ca="1">MATCH(TRUE,OFFSET(INDIRECT($BD$3),SUM($BE$4:$BE7),0,ProductTable!$H$2-SUM($BE$4:$BE7),1),0)</f>
        <v>1</v>
      </c>
      <c r="BF8" s="541" t="str">
        <f ca="1">IF(ISERROR($BE8),"",INDEX(INDIRECT($BA$3),SUM($BE$4:$BE8)))</f>
        <v>AirLancer ON-T90ag</v>
      </c>
      <c r="BH8" s="541">
        <f ca="1">MATCH(TRUE,OFFSET(INDIRECT(INDEX(INDIRECT(CT_APtoC1!$A$5),MATCH(SelectionTables!$S$4,INDIRECT(CT_APtoC1!$G$2),0),0)),0,SUM($BH$4:$BH7),1,ProductTable!$AG$2-SUM($BH$4:$BH7)),0)</f>
        <v>1</v>
      </c>
      <c r="BI8" s="541" t="str">
        <f ca="1">INDEX(INDIRECT(CT_APtoC1!$G$3),1,SUM($BH$4:$BH8))</f>
        <v>O-70-Cable 6m</v>
      </c>
      <c r="BJ8" s="541" t="b">
        <f ca="1">IF(ISERROR(MATCH(BI8,INDIRECT(ProductTable!$AI$4),0)),FALSE,TRUE)</f>
        <v>0</v>
      </c>
      <c r="BK8" s="541">
        <f ca="1">MATCH(TRUE,OFFSET(INDIRECT($BJ$3),SUM($BK$4:$BK7),0,ProductTable!$AG$2-SUM($BK$4:$BK7),1),0)</f>
        <v>1</v>
      </c>
      <c r="BL8" s="541" t="str">
        <f ca="1">IF(ISERROR($BK8),"",INDEX(INDIRECT($BI$3),SUM($BK$4:$BK8)))</f>
        <v>Other cable</v>
      </c>
    </row>
    <row r="9" spans="2:64" x14ac:dyDescent="0.25">
      <c r="B9" s="184">
        <f ca="1">MATCH(TRUE,OFFSET(INDIRECT(INDEX(INDIRECT(CT_APtoSTA!$B$4),0,MATCH(SelectionTables!$G$4,INDIRECT(CT_APtoSTA!$G$3),0))),SUM($B$4:$B8),0,ProductTable!$C$2-SUM($B$4:$B8)),0)</f>
        <v>1</v>
      </c>
      <c r="C9" s="184" t="str">
        <f ca="1">INDEX(INDIRECT(CT_APtoSTA!$G$2),SUM($B$4:$B9))</f>
        <v>LANCOM LN-1702B</v>
      </c>
      <c r="D9" s="184" t="b">
        <f ca="1">IF(ISERROR(MATCH(C9,INDIRECT(ProductTable!$E$4),0)),FALSE,TRUE)</f>
        <v>1</v>
      </c>
      <c r="E9" s="184">
        <f ca="1">MATCH(TRUE,OFFSET(INDIRECT($D$3),SUM($E$4:$E8),0,ProductTable!$C$2-SUM($E$4:$E8),1),0)</f>
        <v>1</v>
      </c>
      <c r="F9" s="184" t="str">
        <f ca="1">IF(ISERROR($E9),"",INDEX(INDIRECT($C$3),SUM($E$4:$E9)))</f>
        <v>LANCOM LN-1702B</v>
      </c>
      <c r="G9" s="92"/>
      <c r="H9" s="268">
        <f ca="1">MATCH(TRUE,OFFSET(INDIRECT(INDEX(INDIRECT(CT_STAtoWLAN!$A$5),MATCH(SelectionTables!$G$4,INDIRECT(CT_STAtoWLAN!$G$2),0),0)),0,SUM($H$4:$H8),1,ProductTable!$W$2-SUM($H$4:$H8)),0)</f>
        <v>2</v>
      </c>
      <c r="I9" s="251" t="str">
        <f ca="1">INDEX(INDIRECT(CT_STAtoWLAN!$G$3),1,SUM($H$4:$H9))</f>
        <v>QCA9892</v>
      </c>
      <c r="J9" s="268" t="e">
        <f ca="1">MATCH(TRUE,OFFSET(INDIRECT(INDEX(INDIRECT(CT_APtoWLAN!$A$5),MATCH(SelectionTables!$S$4,INDIRECT(CT_APtoWLAN!$G$2),0),0)),0,SUM($J$4:$J8),1,ProductTable!$W$2-SUM($J$4:$J8)),0)</f>
        <v>#REF!</v>
      </c>
      <c r="K9" s="251" t="e">
        <f ca="1">INDEX(INDIRECT(CT_APtoWLAN!$G$3),1,SUM($J$4:$J9))</f>
        <v>#REF!</v>
      </c>
      <c r="L9" s="268" t="b">
        <f t="shared" ca="1" si="3"/>
        <v>0</v>
      </c>
      <c r="M9" s="184" t="e">
        <f ca="1">MATCH(TRUE,OFFSET(INDIRECT(L$3),SUM(M$4:M8),0),0)</f>
        <v>#N/A</v>
      </c>
      <c r="N9" s="251" t="e">
        <f ca="1">INDEX(INDIRECT(I$3),SUM(M$4:M9))</f>
        <v>#N/A</v>
      </c>
      <c r="O9" s="184" t="b">
        <f ca="1">IF(ISERROR(MATCH(N9,INDIRECT(ProductTable!$Y$4),0)),FALSE,TRUE)</f>
        <v>0</v>
      </c>
      <c r="P9" s="184" t="e">
        <f ca="1">MATCH(TRUE,OFFSET(INDIRECT(O$3),SUM(P$4:P8),0),0)</f>
        <v>#N/A</v>
      </c>
      <c r="Q9" s="184" t="str">
        <f ca="1">IF(ISERROR(P9),"",INDEX(INDIRECT(N$3),SUM($P$4:$P9)))</f>
        <v/>
      </c>
      <c r="S9" s="134">
        <f ca="1">MATCH(TRUE,OFFSET(INDIRECT(INDEX(INDIRECT(CT_STAtoANT!$A$5),MATCH(SelectionTables!$G$4,INDIRECT(CT_STAtoANT!$G$2),0),0)),0,SUM($S$4:$S8),1,ProductTable!$H$2-SUM($S$4:$S8)),0)</f>
        <v>1</v>
      </c>
      <c r="T9" s="184" t="str">
        <f ca="1">INDEX(INDIRECT(CT_STAtoANT!$G$3),1,SUM($S$4:$S9))</f>
        <v>AirLancer ON-T360ag</v>
      </c>
      <c r="U9" s="184" t="b">
        <f ca="1">IF(ISERROR(MATCH(T9,INDIRECT(ProductTable!$J$4),0)),FALSE,TRUE)</f>
        <v>1</v>
      </c>
      <c r="V9" s="184">
        <f ca="1">MATCH(TRUE,OFFSET(INDIRECT($U$3),SUM($V$4:$V8),0,ProductTable!$H$2-SUM($V$4:$V8),1),0)</f>
        <v>1</v>
      </c>
      <c r="W9" s="184" t="str">
        <f ca="1">IF(ISERROR($V9),"",INDEX(INDIRECT($T$3),SUM($V$4:$V9)))</f>
        <v>AirLancer ON-T360ag</v>
      </c>
      <c r="Y9" s="184">
        <f ca="1">MATCH(TRUE,OFFSET(INDIRECT(INDEX(INDIRECT(CT_APtoC1!$A$5),MATCH(SelectionTables!$S$4,INDIRECT(CT_APtoC1!$G$2),0),0)),0,SUM($Y$4:$Y8),1,ProductTable!$C$2-SUM($Y$4:$Y8)),0)</f>
        <v>1</v>
      </c>
      <c r="Z9" s="251" t="str">
        <f ca="1">INDEX(INDIRECT(CT_APtoC1!$G$3),1,SUM($Y$4:$Y9))</f>
        <v>O-18a-Cable 1m</v>
      </c>
      <c r="AA9" s="184" t="e">
        <f ca="1">MATCH(TRUE,OFFSET(INDIRECT(INDEX(INDIRECT(CT_C1toANT!$B$4),0,MATCH(SelectionTables!$U$4,INDIRECT(CT_C1toANT!$G$3),0))),SUM(AA$4:AA8),0,ProductTable!$M$2-SUM(AA$4:AA8)),0)</f>
        <v>#REF!</v>
      </c>
      <c r="AB9" s="251" t="str">
        <f ca="1">IF(ISERROR(AA9),"",INDEX(INDIRECT(CT_C1toANT!$G$2),SUM(AA$4:AA9)))</f>
        <v/>
      </c>
      <c r="AC9" s="184" t="b">
        <f t="shared" ca="1" si="1"/>
        <v>0</v>
      </c>
      <c r="AD9" s="184" t="e">
        <f ca="1">MATCH(TRUE,OFFSET(INDIRECT($AC$3),SUM($AD$4:$AD8),0),0)</f>
        <v>#N/A</v>
      </c>
      <c r="AE9" s="184" t="e">
        <f ca="1">INDEX(INDIRECT($Z$3),SUM($AD$4:$AD9))</f>
        <v>#N/A</v>
      </c>
      <c r="AF9" s="184" t="b">
        <f ca="1">IF(ISERROR(MATCH(AE9,INDIRECT(ProductTable!$O$4),0)),FALSE,TRUE)</f>
        <v>0</v>
      </c>
      <c r="AG9" s="184" t="e">
        <f ca="1">MATCH(TRUE,OFFSET(INDIRECT($AF$3),SUM($AG$4:$AG8),0),0)</f>
        <v>#N/A</v>
      </c>
      <c r="AH9" s="184" t="str">
        <f ca="1">IF(ISERROR(AG9),"",INDEX(INDIRECT($AE$3),SUM($AG$4:$AG9)))</f>
        <v/>
      </c>
      <c r="AJ9" s="184">
        <f ca="1">MATCH(TRUE,OFFSET(INDIRECT(INDEX(INDIRECT(CT_SAtoC1!$A$5),MATCH(SelectionTables!$V$4,INDIRECT(CT_SAtoC1!$G$2),0),0)),0,SUM($AJ$4:$AJ8),1,ProductTable!$C$2-SUM($AJ$4:$AJ8)),0)</f>
        <v>1</v>
      </c>
      <c r="AK9" s="251" t="str">
        <f ca="1">INDEX(INDIRECT(CT_SAtoC1!$G$3),1,SUM($AJ$4:$AJ9))</f>
        <v>O-18a-Cable 1m</v>
      </c>
      <c r="AL9" s="184" t="e">
        <f ca="1">MATCH(TRUE,OFFSET(INDIRECT(INDEX(INDIRECT(CT_C1toANT!$B$4),0,MATCH(SelectionTables!$U$4,INDIRECT(CT_C1toANT!$G$3),0))),SUM(AL$4:AL8),0,ProductTable!$M$2-SUM(AL$4:AL8)),0)</f>
        <v>#REF!</v>
      </c>
      <c r="AM9" s="251" t="str">
        <f ca="1">IF(ISERROR(AL9),"",INDEX(INDIRECT(CT_C1toANT!$G$2),SUM(AL$4:AL9)))</f>
        <v/>
      </c>
      <c r="AN9" s="184" t="b">
        <f t="shared" ca="1" si="0"/>
        <v>0</v>
      </c>
      <c r="AO9" s="184" t="e">
        <f ca="1">MATCH(TRUE,OFFSET(INDIRECT(AN$3),SUM(AO$4:AO8),0),0)</f>
        <v>#N/A</v>
      </c>
      <c r="AP9" s="184" t="e">
        <f ca="1">INDEX(INDIRECT(AK$3),SUM(AO$4:AO9))</f>
        <v>#N/A</v>
      </c>
      <c r="AQ9" s="184" t="b">
        <f ca="1">IF(ISERROR(MATCH(AP9,INDIRECT(ProductTable!$AI$4),0)),FALSE,TRUE)</f>
        <v>0</v>
      </c>
      <c r="AR9" s="184" t="e">
        <f ca="1">MATCH(TRUE,OFFSET(INDIRECT($AQ$3),SUM($AR$4:$AR8),0),0)</f>
        <v>#N/A</v>
      </c>
      <c r="AS9" s="184" t="str">
        <f ca="1">IF(ISERROR(AR9),"",INDEX(INDIRECT(AP$3),SUM(AR$4:AR9)))</f>
        <v/>
      </c>
      <c r="AU9" s="184" t="str">
        <f ca="1">IF(OR(EXACT(SelectionTables!$T$4,ProductTable!$L$7),EXACT(SelectionTables!$T$4,"")),"",ProductTable!T12)</f>
        <v/>
      </c>
      <c r="AW9" s="540">
        <f ca="1">MATCH(TRUE,OFFSET(INDIRECT(INDEX(INDIRECT(CT_STAtoANT!$A$5),MATCH(SelectionTables!$G$4,INDIRECT(CT_STAtoANT!$G$2),0),0)),0,SUM($AW$4:$AW8),1,ProductTable!$H$2-SUM($AW$4:$AW8)),0)</f>
        <v>1</v>
      </c>
      <c r="AX9" s="541" t="str">
        <f ca="1">INDEX(INDIRECT(CT_STAtoANT!$G$3),1,SUM($AW$4:$AW9))</f>
        <v>AirLancer ON-T360ag</v>
      </c>
      <c r="AY9" s="541" t="b">
        <f ca="1">IF(ISERROR(MATCH(AX9,INDIRECT(ProductTable!$J$4),0)),FALSE,TRUE)</f>
        <v>1</v>
      </c>
      <c r="AZ9" s="541">
        <f ca="1">MATCH(TRUE,OFFSET(INDIRECT($AY$3),SUM($AZ$4:$AZ8),0,ProductTable!$H$2-SUM($AZ$4:$AZ8),1),0)</f>
        <v>1</v>
      </c>
      <c r="BA9" s="541" t="str">
        <f ca="1">IF(ISERROR($AZ9),"",INDEX(INDIRECT($AX$3),SUM($AZ$4:$AZ9)))</f>
        <v>AirLancer ON-T360ag</v>
      </c>
      <c r="BB9" s="541">
        <f ca="1">MATCH(TRUE,OFFSET(INDIRECT(INDEX(INDIRECT(CT_APtoANT!$A$5),MATCH(SelectionTables!$S$4,INDIRECT(CT_APtoANT!$G$2),0),0)),0,SUM($BB$4:$BB8),1,ProductTable!$H$2-SUM($BB$4:$BB8)),0)</f>
        <v>1</v>
      </c>
      <c r="BC9" s="541" t="str">
        <f ca="1">INDEX(INDIRECT(CT_APtoANT!$G$3),1,SUM($BB$4:$BB9))</f>
        <v>AirLancer ON-T360ag</v>
      </c>
      <c r="BD9" s="541" t="b">
        <f t="shared" ca="1" si="2"/>
        <v>1</v>
      </c>
      <c r="BE9" s="541">
        <f ca="1">MATCH(TRUE,OFFSET(INDIRECT($BD$3),SUM($BE$4:$BE8),0,ProductTable!$H$2-SUM($BE$4:$BE8),1),0)</f>
        <v>1</v>
      </c>
      <c r="BF9" s="541" t="str">
        <f ca="1">IF(ISERROR($BE9),"",INDEX(INDIRECT($BA$3),SUM($BE$4:$BE9)))</f>
        <v>AirLancer ON-T360ag</v>
      </c>
      <c r="BH9" s="541">
        <f ca="1">MATCH(TRUE,OFFSET(INDIRECT(INDEX(INDIRECT(CT_APtoC1!$A$5),MATCH(SelectionTables!$S$4,INDIRECT(CT_APtoC1!$G$2),0),0)),0,SUM($BH$4:$BH8),1,ProductTable!$AG$2-SUM($BH$4:$BH8)),0)</f>
        <v>1</v>
      </c>
      <c r="BI9" s="541" t="str">
        <f ca="1">INDEX(INDIRECT(CT_APtoC1!$G$3),1,SUM($BH$4:$BH9))</f>
        <v>O-18a-Cable 1m</v>
      </c>
      <c r="BJ9" s="541" t="b">
        <f ca="1">IF(ISERROR(MATCH(BI9,INDIRECT(ProductTable!$AI$4),0)),FALSE,TRUE)</f>
        <v>0</v>
      </c>
      <c r="BK9" s="541" t="e">
        <f ca="1">MATCH(TRUE,OFFSET(INDIRECT($BJ$3),SUM($BK$4:$BK8),0,ProductTable!$AG$2-SUM($BK$4:$BK8),1),0)</f>
        <v>#N/A</v>
      </c>
      <c r="BL9" s="541" t="str">
        <f ca="1">IF(ISERROR($BK9),"",INDEX(INDIRECT($BI$3),SUM($BK$4:$BK9)))</f>
        <v/>
      </c>
    </row>
    <row r="10" spans="2:64" x14ac:dyDescent="0.25">
      <c r="B10" s="184">
        <f ca="1">MATCH(TRUE,OFFSET(INDIRECT(INDEX(INDIRECT(CT_APtoSTA!$B$4),0,MATCH(SelectionTables!$G$4,INDIRECT(CT_APtoSTA!$G$3),0))),SUM($B$4:$B9),0,ProductTable!$C$2-SUM($B$4:$B9)),0)</f>
        <v>1</v>
      </c>
      <c r="C10" s="184" t="str">
        <f ca="1">INDEX(INDIRECT(CT_APtoSTA!$G$2),SUM($B$4:$B10))</f>
        <v>LANCOM L-822acn</v>
      </c>
      <c r="D10" s="184" t="b">
        <f ca="1">IF(ISERROR(MATCH(C10,INDIRECT(ProductTable!$E$4),0)),FALSE,TRUE)</f>
        <v>1</v>
      </c>
      <c r="E10" s="184">
        <f ca="1">MATCH(TRUE,OFFSET(INDIRECT($D$3),SUM($E$4:$E9),0,ProductTable!$C$2-SUM($E$4:$E9),1),0)</f>
        <v>1</v>
      </c>
      <c r="F10" s="184" t="str">
        <f ca="1">IF(ISERROR($E10),"",INDEX(INDIRECT($C$3),SUM($E$4:$E10)))</f>
        <v>LANCOM L-822acn</v>
      </c>
      <c r="G10" s="92"/>
      <c r="H10" s="268">
        <f ca="1">MATCH(TRUE,OFFSET(INDIRECT(INDEX(INDIRECT(CT_STAtoWLAN!$A$5),MATCH(SelectionTables!$G$4,INDIRECT(CT_STAtoWLAN!$G$2),0),0)),0,SUM($H$4:$H9),1,ProductTable!$W$2-SUM($H$4:$H9)),0)</f>
        <v>2</v>
      </c>
      <c r="I10" s="251" t="str">
        <f ca="1">INDEX(INDIRECT(CT_STAtoWLAN!$G$3),1,SUM($H$4:$H10))</f>
        <v>QCA9994 (5 GHz)</v>
      </c>
      <c r="J10" s="268" t="e">
        <f ca="1">MATCH(TRUE,OFFSET(INDIRECT(INDEX(INDIRECT(CT_APtoWLAN!$A$5),MATCH(SelectionTables!$S$4,INDIRECT(CT_APtoWLAN!$G$2),0),0)),0,SUM($J$4:$J9),1,ProductTable!$W$2-SUM($J$4:$J9)),0)</f>
        <v>#REF!</v>
      </c>
      <c r="K10" s="251" t="e">
        <f ca="1">INDEX(INDIRECT(CT_APtoWLAN!$G$3),1,SUM($J$4:$J10))</f>
        <v>#REF!</v>
      </c>
      <c r="L10" s="268" t="b">
        <f t="shared" ca="1" si="3"/>
        <v>1</v>
      </c>
      <c r="M10" s="184" t="e">
        <f ca="1">MATCH(TRUE,OFFSET(INDIRECT(L$3),SUM(M$4:M9),0),0)</f>
        <v>#N/A</v>
      </c>
      <c r="N10" s="251" t="e">
        <f ca="1">INDEX(INDIRECT(I$3),SUM(M$4:M10))</f>
        <v>#N/A</v>
      </c>
      <c r="O10" s="184" t="b">
        <f ca="1">IF(ISERROR(MATCH(N10,INDIRECT(ProductTable!$Y$4),0)),FALSE,TRUE)</f>
        <v>0</v>
      </c>
      <c r="P10" s="184" t="e">
        <f ca="1">MATCH(TRUE,OFFSET(INDIRECT(O$3),SUM(P$4:P9),0),0)</f>
        <v>#N/A</v>
      </c>
      <c r="Q10" s="184" t="str">
        <f ca="1">IF(ISERROR(P10),"",INDEX(INDIRECT(N$3),SUM($P$4:$P10)))</f>
        <v/>
      </c>
      <c r="S10" s="134">
        <f ca="1">MATCH(TRUE,OFFSET(INDIRECT(INDEX(INDIRECT(CT_STAtoANT!$A$5),MATCH(SelectionTables!$G$4,INDIRECT(CT_STAtoANT!$G$2),0),0)),0,SUM($S$4:$S9),1,ProductTable!$H$2-SUM($S$4:$S9)),0)</f>
        <v>1</v>
      </c>
      <c r="T10" s="184" t="str">
        <f ca="1">INDEX(INDIRECT(CT_STAtoANT!$G$3),1,SUM($S$4:$S10))</f>
        <v>AirLancer ON-Q360ag</v>
      </c>
      <c r="U10" s="184" t="b">
        <f ca="1">IF(ISERROR(MATCH(T10,INDIRECT(ProductTable!$J$4),0)),FALSE,TRUE)</f>
        <v>1</v>
      </c>
      <c r="V10" s="184">
        <f ca="1">MATCH(TRUE,OFFSET(INDIRECT($U$3),SUM($V$4:$V9),0,ProductTable!$H$2-SUM($V$4:$V9),1),0)</f>
        <v>1</v>
      </c>
      <c r="W10" s="184" t="str">
        <f ca="1">IF(ISERROR($V10),"",INDEX(INDIRECT($T$3),SUM($V$4:$V10)))</f>
        <v>AirLancer ON-Q360ag</v>
      </c>
      <c r="Y10" s="184">
        <f ca="1">MATCH(TRUE,OFFSET(INDIRECT(INDEX(INDIRECT(CT_APtoC1!$A$5),MATCH(SelectionTables!$S$4,INDIRECT(CT_APtoC1!$G$2),0),0)),0,SUM($Y$4:$Y9),1,ProductTable!$C$2-SUM($Y$4:$Y9)),0)</f>
        <v>1</v>
      </c>
      <c r="Z10" s="251" t="str">
        <f ca="1">INDEX(INDIRECT(CT_APtoC1!$G$3),1,SUM($Y$4:$Y10))</f>
        <v>O-18a-Cable 3m</v>
      </c>
      <c r="AA10" s="184" t="e">
        <f ca="1">MATCH(TRUE,OFFSET(INDIRECT(INDEX(INDIRECT(CT_C1toANT!$B$4),0,MATCH(SelectionTables!$U$4,INDIRECT(CT_C1toANT!$G$3),0))),SUM(AA$4:AA9),0,ProductTable!$M$2-SUM(AA$4:AA9)),0)</f>
        <v>#REF!</v>
      </c>
      <c r="AB10" s="251" t="str">
        <f ca="1">IF(ISERROR(AA10),"",INDEX(INDIRECT(CT_C1toANT!$G$2),SUM(AA$4:AA10)))</f>
        <v/>
      </c>
      <c r="AC10" s="184" t="b">
        <f t="shared" ca="1" si="1"/>
        <v>0</v>
      </c>
      <c r="AD10" s="184" t="e">
        <f ca="1">MATCH(TRUE,OFFSET(INDIRECT($AC$3),SUM($AD$4:$AD9),0),0)</f>
        <v>#N/A</v>
      </c>
      <c r="AE10" s="184" t="e">
        <f ca="1">INDEX(INDIRECT($Z$3),SUM($AD$4:$AD10))</f>
        <v>#N/A</v>
      </c>
      <c r="AF10" s="184" t="b">
        <f ca="1">IF(ISERROR(MATCH(AE10,INDIRECT(ProductTable!$O$4),0)),FALSE,TRUE)</f>
        <v>0</v>
      </c>
      <c r="AG10" s="184" t="e">
        <f ca="1">MATCH(TRUE,OFFSET(INDIRECT($AF$3),SUM($AG$4:$AG9),0),0)</f>
        <v>#N/A</v>
      </c>
      <c r="AH10" s="184" t="str">
        <f ca="1">IF(ISERROR(AG10),"",INDEX(INDIRECT($AE$3),SUM($AG$4:$AG10)))</f>
        <v/>
      </c>
      <c r="AJ10" s="184">
        <f ca="1">MATCH(TRUE,OFFSET(INDIRECT(INDEX(INDIRECT(CT_SAtoC1!$A$5),MATCH(SelectionTables!$V$4,INDIRECT(CT_SAtoC1!$G$2),0),0)),0,SUM($AJ$4:$AJ9),1,ProductTable!$C$2-SUM($AJ$4:$AJ9)),0)</f>
        <v>1</v>
      </c>
      <c r="AK10" s="251" t="str">
        <f ca="1">INDEX(INDIRECT(CT_SAtoC1!$G$3),1,SUM($AJ$4:$AJ10))</f>
        <v>O-18a-Cable 3m</v>
      </c>
      <c r="AL10" s="184" t="e">
        <f ca="1">MATCH(TRUE,OFFSET(INDIRECT(INDEX(INDIRECT(CT_C1toANT!$B$4),0,MATCH(SelectionTables!$U$4,INDIRECT(CT_C1toANT!$G$3),0))),SUM(AL$4:AL9),0,ProductTable!$M$2-SUM(AL$4:AL9)),0)</f>
        <v>#REF!</v>
      </c>
      <c r="AM10" s="251" t="str">
        <f ca="1">IF(ISERROR(AL10),"",INDEX(INDIRECT(CT_C1toANT!$G$2),SUM(AL$4:AL10)))</f>
        <v/>
      </c>
      <c r="AN10" s="184" t="b">
        <f t="shared" ca="1" si="0"/>
        <v>0</v>
      </c>
      <c r="AO10" s="184" t="e">
        <f ca="1">MATCH(TRUE,OFFSET(INDIRECT(AN$3),SUM(AO$4:AO9),0),0)</f>
        <v>#N/A</v>
      </c>
      <c r="AP10" s="184" t="e">
        <f ca="1">INDEX(INDIRECT(AK$3),SUM(AO$4:AO10))</f>
        <v>#N/A</v>
      </c>
      <c r="AQ10" s="184" t="b">
        <f ca="1">IF(ISERROR(MATCH(AP10,INDIRECT(ProductTable!$AI$4),0)),FALSE,TRUE)</f>
        <v>0</v>
      </c>
      <c r="AR10" s="184" t="e">
        <f ca="1">MATCH(TRUE,OFFSET(INDIRECT($AQ$3),SUM($AR$4:$AR9),0),0)</f>
        <v>#N/A</v>
      </c>
      <c r="AS10" s="184" t="str">
        <f ca="1">IF(ISERROR(AR10),"",INDEX(INDIRECT(AP$3),SUM(AR$4:AR10)))</f>
        <v/>
      </c>
      <c r="AU10" s="184" t="str">
        <f ca="1">IF(OR(EXACT(SelectionTables!$T$4,ProductTable!$L$7),EXACT(SelectionTables!$T$4,"")),"",ProductTable!T13)</f>
        <v/>
      </c>
      <c r="AW10" s="540">
        <f ca="1">MATCH(TRUE,OFFSET(INDIRECT(INDEX(INDIRECT(CT_STAtoANT!$A$5),MATCH(SelectionTables!$G$4,INDIRECT(CT_STAtoANT!$G$2),0),0)),0,SUM($AW$4:$AW9),1,ProductTable!$H$2-SUM($AW$4:$AW9)),0)</f>
        <v>1</v>
      </c>
      <c r="AX10" s="541" t="str">
        <f ca="1">INDEX(INDIRECT(CT_STAtoANT!$G$3),1,SUM($AW$4:$AW10))</f>
        <v>AirLancer ON-Q360ag</v>
      </c>
      <c r="AY10" s="541" t="b">
        <f ca="1">IF(ISERROR(MATCH(AX10,INDIRECT(ProductTable!$J$4),0)),FALSE,TRUE)</f>
        <v>1</v>
      </c>
      <c r="AZ10" s="541">
        <f ca="1">MATCH(TRUE,OFFSET(INDIRECT($AY$3),SUM($AZ$4:$AZ9),0,ProductTable!$H$2-SUM($AZ$4:$AZ9),1),0)</f>
        <v>1</v>
      </c>
      <c r="BA10" s="541" t="str">
        <f ca="1">IF(ISERROR($AZ10),"",INDEX(INDIRECT($AX$3),SUM($AZ$4:$AZ10)))</f>
        <v>AirLancer ON-Q360ag</v>
      </c>
      <c r="BB10" s="541">
        <f ca="1">MATCH(TRUE,OFFSET(INDIRECT(INDEX(INDIRECT(CT_APtoANT!$A$5),MATCH(SelectionTables!$S$4,INDIRECT(CT_APtoANT!$G$2),0),0)),0,SUM($BB$4:$BB9),1,ProductTable!$H$2-SUM($BB$4:$BB9)),0)</f>
        <v>1</v>
      </c>
      <c r="BC10" s="541" t="str">
        <f ca="1">INDEX(INDIRECT(CT_APtoANT!$G$3),1,SUM($BB$4:$BB10))</f>
        <v>AirLancer ON-Q360ag</v>
      </c>
      <c r="BD10" s="541" t="b">
        <f t="shared" ca="1" si="2"/>
        <v>1</v>
      </c>
      <c r="BE10" s="541">
        <f ca="1">MATCH(TRUE,OFFSET(INDIRECT($BD$3),SUM($BE$4:$BE9),0,ProductTable!$H$2-SUM($BE$4:$BE9),1),0)</f>
        <v>1</v>
      </c>
      <c r="BF10" s="541" t="str">
        <f ca="1">IF(ISERROR($BE10),"",INDEX(INDIRECT($BA$3),SUM($BE$4:$BE10)))</f>
        <v>AirLancer ON-Q360ag</v>
      </c>
      <c r="BH10" s="541">
        <f ca="1">MATCH(TRUE,OFFSET(INDIRECT(INDEX(INDIRECT(CT_APtoC1!$A$5),MATCH(SelectionTables!$S$4,INDIRECT(CT_APtoC1!$G$2),0),0)),0,SUM($BH$4:$BH9),1,ProductTable!$AG$2-SUM($BH$4:$BH9)),0)</f>
        <v>1</v>
      </c>
      <c r="BI10" s="541" t="str">
        <f ca="1">INDEX(INDIRECT(CT_APtoC1!$G$3),1,SUM($BH$4:$BH10))</f>
        <v>O-18a-Cable 3m</v>
      </c>
      <c r="BJ10" s="541" t="b">
        <f ca="1">IF(ISERROR(MATCH(BI10,INDIRECT(ProductTable!$AI$4),0)),FALSE,TRUE)</f>
        <v>0</v>
      </c>
      <c r="BK10" s="541" t="e">
        <f ca="1">MATCH(TRUE,OFFSET(INDIRECT($BJ$3),SUM($BK$4:$BK9),0,ProductTable!$AG$2-SUM($BK$4:$BK9),1),0)</f>
        <v>#N/A</v>
      </c>
      <c r="BL10" s="541" t="str">
        <f ca="1">IF(ISERROR($BK10),"",INDEX(INDIRECT($BI$3),SUM($BK$4:$BK10)))</f>
        <v/>
      </c>
    </row>
    <row r="11" spans="2:64" x14ac:dyDescent="0.25">
      <c r="B11" s="184">
        <f ca="1">MATCH(TRUE,OFFSET(INDIRECT(INDEX(INDIRECT(CT_APtoSTA!$B$4),0,MATCH(SelectionTables!$G$4,INDIRECT(CT_APtoSTA!$G$3),0))),SUM($B$4:$B10),0,ProductTable!$C$2-SUM($B$4:$B10)),0)</f>
        <v>1</v>
      </c>
      <c r="C11" s="184" t="str">
        <f ca="1">INDEX(INDIRECT(CT_APtoSTA!$G$2),SUM($B$4:$B11))</f>
        <v>LANCOM LN-862</v>
      </c>
      <c r="D11" s="184" t="b">
        <f ca="1">IF(ISERROR(MATCH(C11,INDIRECT(ProductTable!$E$4),0)),FALSE,TRUE)</f>
        <v>1</v>
      </c>
      <c r="E11" s="184">
        <f ca="1">MATCH(TRUE,OFFSET(INDIRECT($D$3),SUM($E$4:$E10),0,ProductTable!$C$2-SUM($E$4:$E10),1),0)</f>
        <v>1</v>
      </c>
      <c r="F11" s="184" t="str">
        <f ca="1">IF(ISERROR($E11),"",INDEX(INDIRECT($C$3),SUM($E$4:$E11)))</f>
        <v>LANCOM LN-862</v>
      </c>
      <c r="G11" s="92"/>
      <c r="H11" s="268" t="e">
        <f ca="1">MATCH(TRUE,OFFSET(INDIRECT(INDEX(INDIRECT(CT_STAtoWLAN!$A$5),MATCH(SelectionTables!$G$4,INDIRECT(CT_STAtoWLAN!$G$2),0),0)),0,SUM($H$4:$H10),1,ProductTable!$W$2-SUM($H$4:$H10)),0)</f>
        <v>#REF!</v>
      </c>
      <c r="I11" s="251" t="e">
        <f ca="1">INDEX(INDIRECT(CT_STAtoWLAN!$G$3),1,SUM($H$4:$H11))</f>
        <v>#REF!</v>
      </c>
      <c r="J11" s="268" t="e">
        <f ca="1">MATCH(TRUE,OFFSET(INDIRECT(INDEX(INDIRECT(CT_APtoWLAN!$A$5),MATCH(SelectionTables!$S$4,INDIRECT(CT_APtoWLAN!$G$2),0),0)),0,SUM($J$4:$J10),1,ProductTable!$W$2-SUM($J$4:$J10)),0)</f>
        <v>#REF!</v>
      </c>
      <c r="K11" s="251" t="e">
        <f ca="1">INDEX(INDIRECT(CT_APtoWLAN!$G$3),1,SUM($J$4:$J11))</f>
        <v>#REF!</v>
      </c>
      <c r="L11" s="268" t="b">
        <f t="shared" ca="1" si="3"/>
        <v>0</v>
      </c>
      <c r="M11" s="184" t="e">
        <f ca="1">MATCH(TRUE,OFFSET(INDIRECT(L$3),SUM(M$4:M10),0),0)</f>
        <v>#N/A</v>
      </c>
      <c r="N11" s="251" t="e">
        <f ca="1">INDEX(INDIRECT(I$3),SUM(M$4:M11))</f>
        <v>#N/A</v>
      </c>
      <c r="O11" s="184" t="b">
        <f ca="1">IF(ISERROR(MATCH(N11,INDIRECT(ProductTable!$Y$4),0)),FALSE,TRUE)</f>
        <v>0</v>
      </c>
      <c r="P11" s="184" t="e">
        <f ca="1">MATCH(TRUE,OFFSET(INDIRECT(O$3),SUM(P$4:P10),0),0)</f>
        <v>#N/A</v>
      </c>
      <c r="Q11" s="184" t="str">
        <f ca="1">IF(ISERROR(P11),"",INDEX(INDIRECT(N$3),SUM($P$4:$P11)))</f>
        <v/>
      </c>
      <c r="S11" s="134">
        <f ca="1">MATCH(TRUE,OFFSET(INDIRECT(INDEX(INDIRECT(CT_STAtoANT!$A$5),MATCH(SelectionTables!$G$4,INDIRECT(CT_STAtoANT!$G$2),0),0)),0,SUM($S$4:$S10),1,ProductTable!$H$2-SUM($S$4:$S10)),0)</f>
        <v>1</v>
      </c>
      <c r="T11" s="184" t="str">
        <f ca="1">INDEX(INDIRECT(CT_STAtoANT!$G$3),1,SUM($S$4:$S11))</f>
        <v>AirLancer ON-Q90ag</v>
      </c>
      <c r="U11" s="184" t="b">
        <f ca="1">IF(ISERROR(MATCH(T11,INDIRECT(ProductTable!$J$4),0)),FALSE,TRUE)</f>
        <v>1</v>
      </c>
      <c r="V11" s="184">
        <f ca="1">MATCH(TRUE,OFFSET(INDIRECT($U$3),SUM($V$4:$V10),0,ProductTable!$H$2-SUM($V$4:$V10),1),0)</f>
        <v>1</v>
      </c>
      <c r="W11" s="184" t="str">
        <f ca="1">IF(ISERROR($V11),"",INDEX(INDIRECT($T$3),SUM($V$4:$V11)))</f>
        <v>AirLancer ON-Q90ag</v>
      </c>
      <c r="Y11" s="184">
        <f ca="1">MATCH(TRUE,OFFSET(INDIRECT(INDEX(INDIRECT(CT_APtoC1!$A$5),MATCH(SelectionTables!$S$4,INDIRECT(CT_APtoC1!$G$2),0),0)),0,SUM($Y$4:$Y10),1,ProductTable!$C$2-SUM($Y$4:$Y10)),0)</f>
        <v>1</v>
      </c>
      <c r="Z11" s="251" t="str">
        <f ca="1">INDEX(INDIRECT(CT_APtoC1!$G$3),1,SUM($Y$4:$Y11))</f>
        <v>O-9a-Cable 1m</v>
      </c>
      <c r="AA11" s="184" t="e">
        <f ca="1">MATCH(TRUE,OFFSET(INDIRECT(INDEX(INDIRECT(CT_C1toANT!$B$4),0,MATCH(SelectionTables!$U$4,INDIRECT(CT_C1toANT!$G$3),0))),SUM(AA$4:AA10),0,ProductTable!$M$2-SUM(AA$4:AA10)),0)</f>
        <v>#REF!</v>
      </c>
      <c r="AB11" s="251" t="str">
        <f ca="1">IF(ISERROR(AA11),"",INDEX(INDIRECT(CT_C1toANT!$G$2),SUM(AA$4:AA11)))</f>
        <v/>
      </c>
      <c r="AC11" s="184" t="b">
        <f t="shared" ca="1" si="1"/>
        <v>0</v>
      </c>
      <c r="AD11" s="184" t="e">
        <f ca="1">MATCH(TRUE,OFFSET(INDIRECT($AC$3),SUM($AD$4:$AD10),0),0)</f>
        <v>#N/A</v>
      </c>
      <c r="AE11" s="184" t="e">
        <f ca="1">INDEX(INDIRECT($Z$3),SUM($AD$4:$AD11))</f>
        <v>#N/A</v>
      </c>
      <c r="AF11" s="184" t="b">
        <f ca="1">IF(ISERROR(MATCH(AE11,INDIRECT(ProductTable!$O$4),0)),FALSE,TRUE)</f>
        <v>0</v>
      </c>
      <c r="AG11" s="184" t="e">
        <f ca="1">MATCH(TRUE,OFFSET(INDIRECT($AF$3),SUM($AG$4:$AG10),0),0)</f>
        <v>#N/A</v>
      </c>
      <c r="AH11" s="184" t="str">
        <f ca="1">IF(ISERROR(AG11),"",INDEX(INDIRECT($AE$3),SUM($AG$4:$AG11)))</f>
        <v/>
      </c>
      <c r="AJ11" s="184">
        <f ca="1">MATCH(TRUE,OFFSET(INDIRECT(INDEX(INDIRECT(CT_SAtoC1!$A$5),MATCH(SelectionTables!$V$4,INDIRECT(CT_SAtoC1!$G$2),0),0)),0,SUM($AJ$4:$AJ10),1,ProductTable!$C$2-SUM($AJ$4:$AJ10)),0)</f>
        <v>1</v>
      </c>
      <c r="AK11" s="251" t="str">
        <f ca="1">INDEX(INDIRECT(CT_SAtoC1!$G$3),1,SUM($AJ$4:$AJ11))</f>
        <v>O-9a-Cable 1m</v>
      </c>
      <c r="AL11" s="184" t="e">
        <f ca="1">MATCH(TRUE,OFFSET(INDIRECT(INDEX(INDIRECT(CT_C1toANT!$B$4),0,MATCH(SelectionTables!$U$4,INDIRECT(CT_C1toANT!$G$3),0))),SUM(AL$4:AL10),0,ProductTable!$M$2-SUM(AL$4:AL10)),0)</f>
        <v>#REF!</v>
      </c>
      <c r="AM11" s="251" t="str">
        <f ca="1">IF(ISERROR(AL11),"",INDEX(INDIRECT(CT_C1toANT!$G$2),SUM(AL$4:AL11)))</f>
        <v/>
      </c>
      <c r="AN11" s="184" t="b">
        <f t="shared" ca="1" si="0"/>
        <v>0</v>
      </c>
      <c r="AO11" s="184" t="e">
        <f ca="1">MATCH(TRUE,OFFSET(INDIRECT(AN$3),SUM(AO$4:AO10),0),0)</f>
        <v>#N/A</v>
      </c>
      <c r="AP11" s="184" t="e">
        <f ca="1">INDEX(INDIRECT(AK$3),SUM(AO$4:AO11))</f>
        <v>#N/A</v>
      </c>
      <c r="AQ11" s="184" t="b">
        <f ca="1">IF(ISERROR(MATCH(AP11,INDIRECT(ProductTable!$AI$4),0)),FALSE,TRUE)</f>
        <v>0</v>
      </c>
      <c r="AR11" s="184" t="e">
        <f ca="1">MATCH(TRUE,OFFSET(INDIRECT($AQ$3),SUM($AR$4:$AR10),0),0)</f>
        <v>#N/A</v>
      </c>
      <c r="AS11" s="184" t="str">
        <f ca="1">IF(ISERROR(AR11),"",INDEX(INDIRECT(AP$3),SUM(AR$4:AR11)))</f>
        <v/>
      </c>
      <c r="AU11" s="184" t="str">
        <f ca="1">IF(OR(EXACT(SelectionTables!$T$4,ProductTable!$L$7),EXACT(SelectionTables!$T$4,"")),"",ProductTable!T14)</f>
        <v/>
      </c>
      <c r="AW11" s="540">
        <f ca="1">MATCH(TRUE,OFFSET(INDIRECT(INDEX(INDIRECT(CT_STAtoANT!$A$5),MATCH(SelectionTables!$G$4,INDIRECT(CT_STAtoANT!$G$2),0),0)),0,SUM($AW$4:$AW10),1,ProductTable!$H$2-SUM($AW$4:$AW10)),0)</f>
        <v>1</v>
      </c>
      <c r="AX11" s="541" t="str">
        <f ca="1">INDEX(INDIRECT(CT_STAtoANT!$G$3),1,SUM($AW$4:$AW11))</f>
        <v>AirLancer ON-Q90ag</v>
      </c>
      <c r="AY11" s="541" t="b">
        <f ca="1">IF(ISERROR(MATCH(AX11,INDIRECT(ProductTable!$J$4),0)),FALSE,TRUE)</f>
        <v>1</v>
      </c>
      <c r="AZ11" s="541">
        <f ca="1">MATCH(TRUE,OFFSET(INDIRECT($AY$3),SUM($AZ$4:$AZ10),0,ProductTable!$H$2-SUM($AZ$4:$AZ10),1),0)</f>
        <v>1</v>
      </c>
      <c r="BA11" s="541" t="str">
        <f ca="1">IF(ISERROR($AZ11),"",INDEX(INDIRECT($AX$3),SUM($AZ$4:$AZ11)))</f>
        <v>AirLancer ON-Q90ag</v>
      </c>
      <c r="BB11" s="541">
        <f ca="1">MATCH(TRUE,OFFSET(INDIRECT(INDEX(INDIRECT(CT_APtoANT!$A$5),MATCH(SelectionTables!$S$4,INDIRECT(CT_APtoANT!$G$2),0),0)),0,SUM($BB$4:$BB10),1,ProductTable!$H$2-SUM($BB$4:$BB10)),0)</f>
        <v>1</v>
      </c>
      <c r="BC11" s="541" t="str">
        <f ca="1">INDEX(INDIRECT(CT_APtoANT!$G$3),1,SUM($BB$4:$BB11))</f>
        <v>AirLancer ON-Q90ag</v>
      </c>
      <c r="BD11" s="541" t="b">
        <f t="shared" ca="1" si="2"/>
        <v>1</v>
      </c>
      <c r="BE11" s="541">
        <f ca="1">MATCH(TRUE,OFFSET(INDIRECT($BD$3),SUM($BE$4:$BE10),0,ProductTable!$H$2-SUM($BE$4:$BE10),1),0)</f>
        <v>1</v>
      </c>
      <c r="BF11" s="541" t="str">
        <f ca="1">IF(ISERROR($BE11),"",INDEX(INDIRECT($BA$3),SUM($BE$4:$BE11)))</f>
        <v>AirLancer ON-Q90ag</v>
      </c>
      <c r="BH11" s="541">
        <f ca="1">MATCH(TRUE,OFFSET(INDIRECT(INDEX(INDIRECT(CT_APtoC1!$A$5),MATCH(SelectionTables!$S$4,INDIRECT(CT_APtoC1!$G$2),0),0)),0,SUM($BH$4:$BH10),1,ProductTable!$AG$2-SUM($BH$4:$BH10)),0)</f>
        <v>1</v>
      </c>
      <c r="BI11" s="541" t="str">
        <f ca="1">INDEX(INDIRECT(CT_APtoC1!$G$3),1,SUM($BH$4:$BH11))</f>
        <v>O-9a-Cable 1m</v>
      </c>
      <c r="BJ11" s="541" t="b">
        <f ca="1">IF(ISERROR(MATCH(BI11,INDIRECT(ProductTable!$AI$4),0)),FALSE,TRUE)</f>
        <v>0</v>
      </c>
      <c r="BK11" s="541" t="e">
        <f ca="1">MATCH(TRUE,OFFSET(INDIRECT($BJ$3),SUM($BK$4:$BK10),0,ProductTable!$AG$2-SUM($BK$4:$BK10),1),0)</f>
        <v>#N/A</v>
      </c>
      <c r="BL11" s="541" t="str">
        <f ca="1">IF(ISERROR($BK11),"",INDEX(INDIRECT($BI$3),SUM($BK$4:$BK11)))</f>
        <v/>
      </c>
    </row>
    <row r="12" spans="2:64" x14ac:dyDescent="0.25">
      <c r="B12" s="184">
        <f ca="1">MATCH(TRUE,OFFSET(INDIRECT(INDEX(INDIRECT(CT_APtoSTA!$B$4),0,MATCH(SelectionTables!$G$4,INDIRECT(CT_APtoSTA!$G$3),0))),SUM($B$4:$B11),0,ProductTable!$C$2-SUM($B$4:$B11)),0)</f>
        <v>3</v>
      </c>
      <c r="C12" s="184" t="str">
        <f ca="1">INDEX(INDIRECT(CT_APtoSTA!$G$2),SUM($B$4:$B12))</f>
        <v>LANCOM IAP-822</v>
      </c>
      <c r="D12" s="184" t="b">
        <f ca="1">IF(ISERROR(MATCH(C12,INDIRECT(ProductTable!$E$4),0)),FALSE,TRUE)</f>
        <v>1</v>
      </c>
      <c r="E12" s="184">
        <f ca="1">MATCH(TRUE,OFFSET(INDIRECT($D$3),SUM($E$4:$E11),0,ProductTable!$C$2-SUM($E$4:$E11),1),0)</f>
        <v>1</v>
      </c>
      <c r="F12" s="184" t="str">
        <f ca="1">IF(ISERROR($E12),"",INDEX(INDIRECT($C$3),SUM($E$4:$E12)))</f>
        <v>LANCOM IAP-822</v>
      </c>
      <c r="G12" s="92"/>
      <c r="H12" s="268" t="e">
        <f ca="1">MATCH(TRUE,OFFSET(INDIRECT(INDEX(INDIRECT(CT_STAtoWLAN!$A$5),MATCH(SelectionTables!$G$4,INDIRECT(CT_STAtoWLAN!$G$2),0),0)),0,SUM($H$4:$H11),1,ProductTable!$W$2-SUM($H$4:$H11)),0)</f>
        <v>#REF!</v>
      </c>
      <c r="I12" s="251" t="e">
        <f ca="1">INDEX(INDIRECT(CT_STAtoWLAN!$G$3),1,SUM($H$4:$H12))</f>
        <v>#REF!</v>
      </c>
      <c r="J12" s="268" t="e">
        <f ca="1">MATCH(TRUE,OFFSET(INDIRECT(INDEX(INDIRECT(CT_APtoWLAN!$A$5),MATCH(SelectionTables!$S$4,INDIRECT(CT_APtoWLAN!$G$2),0),0)),0,SUM($J$4:$J11),1,ProductTable!$W$2-SUM($J$4:$J11)),0)</f>
        <v>#REF!</v>
      </c>
      <c r="K12" s="251" t="e">
        <f ca="1">INDEX(INDIRECT(CT_APtoWLAN!$G$3),1,SUM($J$4:$J12))</f>
        <v>#REF!</v>
      </c>
      <c r="L12" s="268" t="b">
        <f t="shared" ca="1" si="3"/>
        <v>0</v>
      </c>
      <c r="M12" s="184" t="e">
        <f ca="1">MATCH(TRUE,OFFSET(INDIRECT(L$3),SUM(M$4:M11),0),0)</f>
        <v>#N/A</v>
      </c>
      <c r="N12" s="251" t="e">
        <f ca="1">INDEX(INDIRECT(I$3),SUM(M$4:M12))</f>
        <v>#N/A</v>
      </c>
      <c r="O12" s="184" t="b">
        <f ca="1">IF(ISERROR(MATCH(N12,INDIRECT(ProductTable!$Y$4),0)),FALSE,TRUE)</f>
        <v>0</v>
      </c>
      <c r="P12" s="184" t="e">
        <f ca="1">MATCH(TRUE,OFFSET(INDIRECT(O$3),SUM(P$4:P11),0),0)</f>
        <v>#N/A</v>
      </c>
      <c r="Q12" s="184" t="str">
        <f ca="1">IF(ISERROR(P12),"",INDEX(INDIRECT(N$3),SUM($P$4:$P12)))</f>
        <v/>
      </c>
      <c r="S12" s="134">
        <f ca="1">MATCH(TRUE,OFFSET(INDIRECT(INDEX(INDIRECT(CT_STAtoANT!$A$5),MATCH(SelectionTables!$G$4,INDIRECT(CT_STAtoANT!$G$2),0),0)),0,SUM($S$4:$S11),1,ProductTable!$H$2-SUM($S$4:$S11)),0)</f>
        <v>1</v>
      </c>
      <c r="T12" s="184" t="str">
        <f ca="1">INDEX(INDIRECT(CT_STAtoANT!$G$3),1,SUM($S$4:$S12))</f>
        <v>AirLancer ON-Q60ag</v>
      </c>
      <c r="U12" s="184" t="b">
        <f ca="1">IF(ISERROR(MATCH(T12,INDIRECT(ProductTable!$J$4),0)),FALSE,TRUE)</f>
        <v>1</v>
      </c>
      <c r="V12" s="184">
        <f ca="1">MATCH(TRUE,OFFSET(INDIRECT($U$3),SUM($V$4:$V11),0,ProductTable!$H$2-SUM($V$4:$V11),1),0)</f>
        <v>1</v>
      </c>
      <c r="W12" s="184" t="str">
        <f ca="1">IF(ISERROR($V12),"",INDEX(INDIRECT($T$3),SUM($V$4:$V12)))</f>
        <v>AirLancer ON-Q60ag</v>
      </c>
      <c r="Y12" s="184">
        <f ca="1">MATCH(TRUE,OFFSET(INDIRECT(INDEX(INDIRECT(CT_APtoC1!$A$5),MATCH(SelectionTables!$S$4,INDIRECT(CT_APtoC1!$G$2),0),0)),0,SUM($Y$4:$Y11),1,ProductTable!$C$2-SUM($Y$4:$Y11)),0)</f>
        <v>1</v>
      </c>
      <c r="Z12" s="251" t="str">
        <f ca="1">INDEX(INDIRECT(CT_APtoC1!$G$3),1,SUM($Y$4:$Y12))</f>
        <v>O-D60a-Cable 1m</v>
      </c>
      <c r="AA12" s="184" t="e">
        <f ca="1">MATCH(TRUE,OFFSET(INDIRECT(INDEX(INDIRECT(CT_C1toANT!$B$4),0,MATCH(SelectionTables!$U$4,INDIRECT(CT_C1toANT!$G$3),0))),SUM(AA$4:AA11),0,ProductTable!$M$2-SUM(AA$4:AA11)),0)</f>
        <v>#REF!</v>
      </c>
      <c r="AB12" s="251" t="str">
        <f ca="1">IF(ISERROR(AA12),"",INDEX(INDIRECT(CT_C1toANT!$G$2),SUM(AA$4:AA12)))</f>
        <v/>
      </c>
      <c r="AC12" s="184" t="b">
        <f t="shared" ca="1" si="1"/>
        <v>0</v>
      </c>
      <c r="AD12" s="184" t="e">
        <f ca="1">MATCH(TRUE,OFFSET(INDIRECT($AC$3),SUM($AD$4:$AD11),0),0)</f>
        <v>#N/A</v>
      </c>
      <c r="AE12" s="184" t="e">
        <f ca="1">INDEX(INDIRECT($Z$3),SUM($AD$4:$AD12))</f>
        <v>#N/A</v>
      </c>
      <c r="AF12" s="184" t="b">
        <f ca="1">IF(ISERROR(MATCH(AE12,INDIRECT(ProductTable!$O$4),0)),FALSE,TRUE)</f>
        <v>0</v>
      </c>
      <c r="AG12" s="184" t="e">
        <f ca="1">MATCH(TRUE,OFFSET(INDIRECT($AF$3),SUM($AG$4:$AG11),0),0)</f>
        <v>#N/A</v>
      </c>
      <c r="AH12" s="184" t="str">
        <f ca="1">IF(ISERROR(AG12),"",INDEX(INDIRECT($AE$3),SUM($AG$4:$AG12)))</f>
        <v/>
      </c>
      <c r="AJ12" s="184">
        <f ca="1">MATCH(TRUE,OFFSET(INDIRECT(INDEX(INDIRECT(CT_SAtoC1!$A$5),MATCH(SelectionTables!$V$4,INDIRECT(CT_SAtoC1!$G$2),0),0)),0,SUM($AJ$4:$AJ11),1,ProductTable!$C$2-SUM($AJ$4:$AJ11)),0)</f>
        <v>1</v>
      </c>
      <c r="AK12" s="251" t="str">
        <f ca="1">INDEX(INDIRECT(CT_SAtoC1!$G$3),1,SUM($AJ$4:$AJ12))</f>
        <v>O-D60a-Cable 1m</v>
      </c>
      <c r="AL12" s="184" t="e">
        <f ca="1">MATCH(TRUE,OFFSET(INDIRECT(INDEX(INDIRECT(CT_C1toANT!$B$4),0,MATCH(SelectionTables!$U$4,INDIRECT(CT_C1toANT!$G$3),0))),SUM(AL$4:AL11),0,ProductTable!$M$2-SUM(AL$4:AL11)),0)</f>
        <v>#REF!</v>
      </c>
      <c r="AM12" s="251" t="str">
        <f ca="1">IF(ISERROR(AL12),"",INDEX(INDIRECT(CT_C1toANT!$G$2),SUM(AL$4:AL12)))</f>
        <v/>
      </c>
      <c r="AN12" s="184" t="b">
        <f t="shared" ca="1" si="0"/>
        <v>0</v>
      </c>
      <c r="AO12" s="184" t="e">
        <f ca="1">MATCH(TRUE,OFFSET(INDIRECT(AN$3),SUM(AO$4:AO11),0),0)</f>
        <v>#N/A</v>
      </c>
      <c r="AP12" s="184" t="e">
        <f ca="1">INDEX(INDIRECT(AK$3),SUM(AO$4:AO12))</f>
        <v>#N/A</v>
      </c>
      <c r="AQ12" s="184" t="b">
        <f ca="1">IF(ISERROR(MATCH(AP12,INDIRECT(ProductTable!$AI$4),0)),FALSE,TRUE)</f>
        <v>0</v>
      </c>
      <c r="AR12" s="184" t="e">
        <f ca="1">MATCH(TRUE,OFFSET(INDIRECT($AQ$3),SUM($AR$4:$AR11),0),0)</f>
        <v>#N/A</v>
      </c>
      <c r="AS12" s="184" t="str">
        <f ca="1">IF(ISERROR(AR12),"",INDEX(INDIRECT(AP$3),SUM(AR$4:AR12)))</f>
        <v/>
      </c>
      <c r="AU12" s="184" t="str">
        <f ca="1">IF(OR(EXACT(SelectionTables!$T$4,ProductTable!$L$7),EXACT(SelectionTables!$T$4,"")),"",ProductTable!T15)</f>
        <v/>
      </c>
      <c r="AW12" s="540">
        <f ca="1">MATCH(TRUE,OFFSET(INDIRECT(INDEX(INDIRECT(CT_STAtoANT!$A$5),MATCH(SelectionTables!$G$4,INDIRECT(CT_STAtoANT!$G$2),0),0)),0,SUM($AW$4:$AW11),1,ProductTable!$H$2-SUM($AW$4:$AW11)),0)</f>
        <v>1</v>
      </c>
      <c r="AX12" s="541" t="str">
        <f ca="1">INDEX(INDIRECT(CT_STAtoANT!$G$3),1,SUM($AW$4:$AW12))</f>
        <v>AirLancer ON-Q60ag</v>
      </c>
      <c r="AY12" s="541" t="b">
        <f ca="1">IF(ISERROR(MATCH(AX12,INDIRECT(ProductTable!$J$4),0)),FALSE,TRUE)</f>
        <v>1</v>
      </c>
      <c r="AZ12" s="541">
        <f ca="1">MATCH(TRUE,OFFSET(INDIRECT($AY$3),SUM($AZ$4:$AZ11),0,ProductTable!$H$2-SUM($AZ$4:$AZ11),1),0)</f>
        <v>1</v>
      </c>
      <c r="BA12" s="541" t="str">
        <f ca="1">IF(ISERROR($AZ12),"",INDEX(INDIRECT($AX$3),SUM($AZ$4:$AZ12)))</f>
        <v>AirLancer ON-Q60ag</v>
      </c>
      <c r="BB12" s="541">
        <f ca="1">MATCH(TRUE,OFFSET(INDIRECT(INDEX(INDIRECT(CT_APtoANT!$A$5),MATCH(SelectionTables!$S$4,INDIRECT(CT_APtoANT!$G$2),0),0)),0,SUM($BB$4:$BB11),1,ProductTable!$H$2-SUM($BB$4:$BB11)),0)</f>
        <v>1</v>
      </c>
      <c r="BC12" s="541" t="str">
        <f ca="1">INDEX(INDIRECT(CT_APtoANT!$G$3),1,SUM($BB$4:$BB12))</f>
        <v>AirLancer ON-Q60ag</v>
      </c>
      <c r="BD12" s="541" t="b">
        <f t="shared" ca="1" si="2"/>
        <v>1</v>
      </c>
      <c r="BE12" s="541">
        <f ca="1">MATCH(TRUE,OFFSET(INDIRECT($BD$3),SUM($BE$4:$BE11),0,ProductTable!$H$2-SUM($BE$4:$BE11),1),0)</f>
        <v>1</v>
      </c>
      <c r="BF12" s="541" t="str">
        <f ca="1">IF(ISERROR($BE12),"",INDEX(INDIRECT($BA$3),SUM($BE$4:$BE12)))</f>
        <v>AirLancer ON-Q60ag</v>
      </c>
      <c r="BH12" s="541">
        <f ca="1">MATCH(TRUE,OFFSET(INDIRECT(INDEX(INDIRECT(CT_APtoC1!$A$5),MATCH(SelectionTables!$S$4,INDIRECT(CT_APtoC1!$G$2),0),0)),0,SUM($BH$4:$BH11),1,ProductTable!$AG$2-SUM($BH$4:$BH11)),0)</f>
        <v>1</v>
      </c>
      <c r="BI12" s="541" t="str">
        <f ca="1">INDEX(INDIRECT(CT_APtoC1!$G$3),1,SUM($BH$4:$BH12))</f>
        <v>O-D60a-Cable 1m</v>
      </c>
      <c r="BJ12" s="541" t="b">
        <f ca="1">IF(ISERROR(MATCH(BI12,INDIRECT(ProductTable!$AI$4),0)),FALSE,TRUE)</f>
        <v>0</v>
      </c>
      <c r="BK12" s="541" t="e">
        <f ca="1">MATCH(TRUE,OFFSET(INDIRECT($BJ$3),SUM($BK$4:$BK11),0,ProductTable!$AG$2-SUM($BK$4:$BK11),1),0)</f>
        <v>#N/A</v>
      </c>
      <c r="BL12" s="541" t="str">
        <f ca="1">IF(ISERROR($BK12),"",INDEX(INDIRECT($BI$3),SUM($BK$4:$BK12)))</f>
        <v/>
      </c>
    </row>
    <row r="13" spans="2:64" x14ac:dyDescent="0.25">
      <c r="B13" s="184">
        <f ca="1">MATCH(TRUE,OFFSET(INDIRECT(INDEX(INDIRECT(CT_APtoSTA!$B$4),0,MATCH(SelectionTables!$G$4,INDIRECT(CT_APtoSTA!$G$3),0))),SUM($B$4:$B12),0,ProductTable!$C$2-SUM($B$4:$B12)),0)</f>
        <v>1</v>
      </c>
      <c r="C13" s="184" t="str">
        <f ca="1">INDEX(INDIRECT(CT_APtoSTA!$G$2),SUM($B$4:$B13))</f>
        <v>LANCOM IAP-821</v>
      </c>
      <c r="D13" s="184" t="b">
        <f ca="1">IF(ISERROR(MATCH(C13,INDIRECT(ProductTable!$E$4),0)),FALSE,TRUE)</f>
        <v>1</v>
      </c>
      <c r="E13" s="184">
        <f ca="1">MATCH(TRUE,OFFSET(INDIRECT($D$3),SUM($E$4:$E12),0,ProductTable!$C$2-SUM($E$4:$E12),1),0)</f>
        <v>1</v>
      </c>
      <c r="F13" s="184" t="str">
        <f ca="1">IF(ISERROR($E13),"",INDEX(INDIRECT($C$3),SUM($E$4:$E13)))</f>
        <v>LANCOM IAP-821</v>
      </c>
      <c r="G13" s="92"/>
      <c r="H13" s="268" t="e">
        <f ca="1">MATCH(TRUE,OFFSET(INDIRECT(INDEX(INDIRECT(CT_STAtoWLAN!$A$5),MATCH(SelectionTables!$G$4,INDIRECT(CT_STAtoWLAN!$G$2),0),0)),0,SUM($H$4:$H12),1,ProductTable!$W$2-SUM($H$4:$H12)),0)</f>
        <v>#REF!</v>
      </c>
      <c r="I13" s="251" t="e">
        <f ca="1">INDEX(INDIRECT(CT_STAtoWLAN!$G$3),1,SUM($H$4:$H13))</f>
        <v>#REF!</v>
      </c>
      <c r="J13" s="268" t="e">
        <f ca="1">MATCH(TRUE,OFFSET(INDIRECT(INDEX(INDIRECT(CT_APtoWLAN!$A$5),MATCH(SelectionTables!$S$4,INDIRECT(CT_APtoWLAN!$G$2),0),0)),0,SUM($J$4:$J12),1,ProductTable!$W$2-SUM($J$4:$J12)),0)</f>
        <v>#REF!</v>
      </c>
      <c r="K13" s="251" t="e">
        <f ca="1">INDEX(INDIRECT(CT_APtoWLAN!$G$3),1,SUM($J$4:$J13))</f>
        <v>#REF!</v>
      </c>
      <c r="L13" s="268" t="b">
        <f t="shared" ca="1" si="3"/>
        <v>0</v>
      </c>
      <c r="M13" s="184" t="e">
        <f ca="1">MATCH(TRUE,OFFSET(INDIRECT(L$3),SUM(M$4:M12),0),0)</f>
        <v>#N/A</v>
      </c>
      <c r="N13" s="251" t="e">
        <f ca="1">INDEX(INDIRECT(I$3),SUM(M$4:M13))</f>
        <v>#N/A</v>
      </c>
      <c r="O13" s="184" t="b">
        <f ca="1">IF(ISERROR(MATCH(N13,INDIRECT(ProductTable!$Y$4),0)),FALSE,TRUE)</f>
        <v>0</v>
      </c>
      <c r="P13" s="184" t="e">
        <f ca="1">MATCH(TRUE,OFFSET(INDIRECT(O$3),SUM(P$4:P12),0),0)</f>
        <v>#N/A</v>
      </c>
      <c r="Q13" s="184" t="str">
        <f ca="1">IF(ISERROR(P13),"",INDEX(INDIRECT(N$3),SUM($P$4:$P13)))</f>
        <v/>
      </c>
      <c r="S13" s="134">
        <f ca="1">MATCH(TRUE,OFFSET(INDIRECT(INDEX(INDIRECT(CT_STAtoANT!$A$5),MATCH(SelectionTables!$G$4,INDIRECT(CT_STAtoANT!$G$2),0),0)),0,SUM($S$4:$S12),1,ProductTable!$H$2-SUM($S$4:$S12)),0)</f>
        <v>1</v>
      </c>
      <c r="T13" s="184" t="str">
        <f ca="1">INDEX(INDIRECT(CT_STAtoANT!$G$3),1,SUM($S$4:$S13))</f>
        <v>AirLancer ON-QT60</v>
      </c>
      <c r="U13" s="184" t="b">
        <f ca="1">IF(ISERROR(MATCH(T13,INDIRECT(ProductTable!$J$4),0)),FALSE,TRUE)</f>
        <v>1</v>
      </c>
      <c r="V13" s="184">
        <f ca="1">MATCH(TRUE,OFFSET(INDIRECT($U$3),SUM($V$4:$V12),0,ProductTable!$H$2-SUM($V$4:$V12),1),0)</f>
        <v>1</v>
      </c>
      <c r="W13" s="184" t="str">
        <f ca="1">IF(ISERROR($V13),"",INDEX(INDIRECT($T$3),SUM($V$4:$V13)))</f>
        <v>AirLancer ON-QT60</v>
      </c>
      <c r="Y13" s="184">
        <f ca="1">MATCH(TRUE,OFFSET(INDIRECT(INDEX(INDIRECT(CT_APtoC1!$A$5),MATCH(SelectionTables!$S$4,INDIRECT(CT_APtoC1!$G$2),0),0)),0,SUM($Y$4:$Y12),1,ProductTable!$C$2-SUM($Y$4:$Y12)),0)</f>
        <v>1</v>
      </c>
      <c r="Z13" s="251" t="str">
        <f ca="1">INDEX(INDIRECT(CT_APtoC1!$G$3),1,SUM($Y$4:$Y13))</f>
        <v>O-D80g-Cable 1m</v>
      </c>
      <c r="AA13" s="184" t="e">
        <f ca="1">MATCH(TRUE,OFFSET(INDIRECT(INDEX(INDIRECT(CT_C1toANT!$B$4),0,MATCH(SelectionTables!$U$4,INDIRECT(CT_C1toANT!$G$3),0))),SUM(AA$4:AA12),0,ProductTable!$M$2-SUM(AA$4:AA12)),0)</f>
        <v>#REF!</v>
      </c>
      <c r="AB13" s="251" t="str">
        <f ca="1">IF(ISERROR(AA13),"",INDEX(INDIRECT(CT_C1toANT!$G$2),SUM(AA$4:AA13)))</f>
        <v/>
      </c>
      <c r="AC13" s="184" t="b">
        <f t="shared" ca="1" si="1"/>
        <v>0</v>
      </c>
      <c r="AD13" s="184" t="e">
        <f ca="1">MATCH(TRUE,OFFSET(INDIRECT($AC$3),SUM($AD$4:$AD12),0),0)</f>
        <v>#N/A</v>
      </c>
      <c r="AE13" s="184" t="e">
        <f ca="1">INDEX(INDIRECT($Z$3),SUM($AD$4:$AD13))</f>
        <v>#N/A</v>
      </c>
      <c r="AF13" s="184" t="b">
        <f ca="1">IF(ISERROR(MATCH(AE13,INDIRECT(ProductTable!$O$4),0)),FALSE,TRUE)</f>
        <v>0</v>
      </c>
      <c r="AG13" s="184" t="e">
        <f ca="1">MATCH(TRUE,OFFSET(INDIRECT($AF$3),SUM($AG$4:$AG12),0),0)</f>
        <v>#N/A</v>
      </c>
      <c r="AH13" s="184" t="str">
        <f ca="1">IF(ISERROR(AG13),"",INDEX(INDIRECT($AE$3),SUM($AG$4:$AG13)))</f>
        <v/>
      </c>
      <c r="AJ13" s="184">
        <f ca="1">MATCH(TRUE,OFFSET(INDIRECT(INDEX(INDIRECT(CT_SAtoC1!$A$5),MATCH(SelectionTables!$V$4,INDIRECT(CT_SAtoC1!$G$2),0),0)),0,SUM($AJ$4:$AJ12),1,ProductTable!$C$2-SUM($AJ$4:$AJ12)),0)</f>
        <v>1</v>
      </c>
      <c r="AK13" s="251" t="str">
        <f ca="1">INDEX(INDIRECT(CT_SAtoC1!$G$3),1,SUM($AJ$4:$AJ13))</f>
        <v>O-D80g-Cable 1m</v>
      </c>
      <c r="AL13" s="184" t="e">
        <f ca="1">MATCH(TRUE,OFFSET(INDIRECT(INDEX(INDIRECT(CT_C1toANT!$B$4),0,MATCH(SelectionTables!$U$4,INDIRECT(CT_C1toANT!$G$3),0))),SUM(AL$4:AL12),0,ProductTable!$M$2-SUM(AL$4:AL12)),0)</f>
        <v>#REF!</v>
      </c>
      <c r="AM13" s="251" t="str">
        <f ca="1">IF(ISERROR(AL13),"",INDEX(INDIRECT(CT_C1toANT!$G$2),SUM(AL$4:AL13)))</f>
        <v/>
      </c>
      <c r="AN13" s="184" t="b">
        <f t="shared" ca="1" si="0"/>
        <v>0</v>
      </c>
      <c r="AO13" s="184" t="e">
        <f ca="1">MATCH(TRUE,OFFSET(INDIRECT(AN$3),SUM(AO$4:AO12),0),0)</f>
        <v>#N/A</v>
      </c>
      <c r="AP13" s="184" t="e">
        <f ca="1">INDEX(INDIRECT(AK$3),SUM(AO$4:AO13))</f>
        <v>#N/A</v>
      </c>
      <c r="AQ13" s="184" t="b">
        <f ca="1">IF(ISERROR(MATCH(AP13,INDIRECT(ProductTable!$AI$4),0)),FALSE,TRUE)</f>
        <v>0</v>
      </c>
      <c r="AR13" s="184" t="e">
        <f ca="1">MATCH(TRUE,OFFSET(INDIRECT($AQ$3),SUM($AR$4:$AR12),0),0)</f>
        <v>#N/A</v>
      </c>
      <c r="AS13" s="184" t="str">
        <f ca="1">IF(ISERROR(AR13),"",INDEX(INDIRECT(AP$3),SUM(AR$4:AR13)))</f>
        <v/>
      </c>
      <c r="AU13" s="184" t="str">
        <f ca="1">IF(OR(EXACT(SelectionTables!$T$4,ProductTable!$L$7),EXACT(SelectionTables!$T$4,"")),"",ProductTable!T16)</f>
        <v/>
      </c>
      <c r="AW13" s="540">
        <f ca="1">MATCH(TRUE,OFFSET(INDIRECT(INDEX(INDIRECT(CT_STAtoANT!$A$5),MATCH(SelectionTables!$G$4,INDIRECT(CT_STAtoANT!$G$2),0),0)),0,SUM($AW$4:$AW12),1,ProductTable!$H$2-SUM($AW$4:$AW12)),0)</f>
        <v>1</v>
      </c>
      <c r="AX13" s="541" t="str">
        <f ca="1">INDEX(INDIRECT(CT_STAtoANT!$G$3),1,SUM($AW$4:$AW13))</f>
        <v>AirLancer ON-QT60</v>
      </c>
      <c r="AY13" s="541" t="b">
        <f ca="1">IF(ISERROR(MATCH(AX13,INDIRECT(ProductTable!$J$4),0)),FALSE,TRUE)</f>
        <v>1</v>
      </c>
      <c r="AZ13" s="541">
        <f ca="1">MATCH(TRUE,OFFSET(INDIRECT($AY$3),SUM($AZ$4:$AZ12),0,ProductTable!$H$2-SUM($AZ$4:$AZ12),1),0)</f>
        <v>1</v>
      </c>
      <c r="BA13" s="541" t="str">
        <f ca="1">IF(ISERROR($AZ13),"",INDEX(INDIRECT($AX$3),SUM($AZ$4:$AZ13)))</f>
        <v>AirLancer ON-QT60</v>
      </c>
      <c r="BB13" s="541">
        <f ca="1">MATCH(TRUE,OFFSET(INDIRECT(INDEX(INDIRECT(CT_APtoANT!$A$5),MATCH(SelectionTables!$S$4,INDIRECT(CT_APtoANT!$G$2),0),0)),0,SUM($BB$4:$BB12),1,ProductTable!$H$2-SUM($BB$4:$BB12)),0)</f>
        <v>1</v>
      </c>
      <c r="BC13" s="541" t="str">
        <f ca="1">INDEX(INDIRECT(CT_APtoANT!$G$3),1,SUM($BB$4:$BB13))</f>
        <v>AirLancer ON-QT60</v>
      </c>
      <c r="BD13" s="541" t="b">
        <f t="shared" ca="1" si="2"/>
        <v>1</v>
      </c>
      <c r="BE13" s="541">
        <f ca="1">MATCH(TRUE,OFFSET(INDIRECT($BD$3),SUM($BE$4:$BE12),0,ProductTable!$H$2-SUM($BE$4:$BE12),1),0)</f>
        <v>1</v>
      </c>
      <c r="BF13" s="541" t="str">
        <f ca="1">IF(ISERROR($BE13),"",INDEX(INDIRECT($BA$3),SUM($BE$4:$BE13)))</f>
        <v>AirLancer ON-QT60</v>
      </c>
      <c r="BH13" s="541">
        <f ca="1">MATCH(TRUE,OFFSET(INDIRECT(INDEX(INDIRECT(CT_APtoC1!$A$5),MATCH(SelectionTables!$S$4,INDIRECT(CT_APtoC1!$G$2),0),0)),0,SUM($BH$4:$BH12),1,ProductTable!$AG$2-SUM($BH$4:$BH12)),0)</f>
        <v>1</v>
      </c>
      <c r="BI13" s="541" t="str">
        <f ca="1">INDEX(INDIRECT(CT_APtoC1!$G$3),1,SUM($BH$4:$BH13))</f>
        <v>O-D80g-Cable 1m</v>
      </c>
      <c r="BJ13" s="541" t="b">
        <f ca="1">IF(ISERROR(MATCH(BI13,INDIRECT(ProductTable!$AI$4),0)),FALSE,TRUE)</f>
        <v>0</v>
      </c>
      <c r="BK13" s="541" t="e">
        <f ca="1">MATCH(TRUE,OFFSET(INDIRECT($BJ$3),SUM($BK$4:$BK12),0,ProductTable!$AG$2-SUM($BK$4:$BK12),1),0)</f>
        <v>#N/A</v>
      </c>
      <c r="BL13" s="541" t="str">
        <f ca="1">IF(ISERROR($BK13),"",INDEX(INDIRECT($BI$3),SUM($BK$4:$BK13)))</f>
        <v/>
      </c>
    </row>
    <row r="14" spans="2:64" x14ac:dyDescent="0.25">
      <c r="B14" s="184" t="e">
        <f ca="1">MATCH(TRUE,OFFSET(INDIRECT(INDEX(INDIRECT(CT_APtoSTA!$B$4),0,MATCH(SelectionTables!$G$4,INDIRECT(CT_APtoSTA!$G$3),0))),SUM($B$4:$B13),0,ProductTable!$C$2-SUM($B$4:$B13)),0)</f>
        <v>#REF!</v>
      </c>
      <c r="C14" s="184" t="e">
        <f ca="1">INDEX(INDIRECT(CT_APtoSTA!$G$2),SUM($B$4:$B14))</f>
        <v>#REF!</v>
      </c>
      <c r="D14" s="184" t="b">
        <f ca="1">IF(ISERROR(MATCH(C14,INDIRECT(ProductTable!$E$4),0)),FALSE,TRUE)</f>
        <v>0</v>
      </c>
      <c r="E14" s="184" t="e">
        <f ca="1">MATCH(TRUE,OFFSET(INDIRECT($D$3),SUM($E$4:$E13),0,ProductTable!$C$2-SUM($E$4:$E13),1),0)</f>
        <v>#N/A</v>
      </c>
      <c r="F14" s="184" t="str">
        <f ca="1">IF(ISERROR($E14),"",INDEX(INDIRECT($C$3),SUM($E$4:$E14)))</f>
        <v/>
      </c>
      <c r="G14" s="92"/>
      <c r="H14" s="268" t="e">
        <f ca="1">MATCH(TRUE,OFFSET(INDIRECT(INDEX(INDIRECT(CT_STAtoWLAN!$A$5),MATCH(SelectionTables!$G$4,INDIRECT(CT_STAtoWLAN!$G$2),0),0)),0,SUM($H$4:$H13),1,ProductTable!$W$2-SUM($H$4:$H13)),0)</f>
        <v>#REF!</v>
      </c>
      <c r="I14" s="251" t="e">
        <f ca="1">INDEX(INDIRECT(CT_STAtoWLAN!$G$3),1,SUM($H$4:$H14))</f>
        <v>#REF!</v>
      </c>
      <c r="J14" s="268" t="e">
        <f ca="1">MATCH(TRUE,OFFSET(INDIRECT(INDEX(INDIRECT(CT_APtoWLAN!$A$5),MATCH(SelectionTables!$S$4,INDIRECT(CT_APtoWLAN!$G$2),0),0)),0,SUM($J$4:$J13),1,ProductTable!$W$2-SUM($J$4:$J13)),0)</f>
        <v>#REF!</v>
      </c>
      <c r="K14" s="251" t="e">
        <f ca="1">INDEX(INDIRECT(CT_APtoWLAN!$G$3),1,SUM($J$4:$J14))</f>
        <v>#REF!</v>
      </c>
      <c r="L14" s="268" t="b">
        <f t="shared" ca="1" si="3"/>
        <v>0</v>
      </c>
      <c r="M14" s="184" t="e">
        <f ca="1">MATCH(TRUE,OFFSET(INDIRECT(L$3),SUM(M$4:M13),0),0)</f>
        <v>#N/A</v>
      </c>
      <c r="N14" s="251" t="e">
        <f ca="1">INDEX(INDIRECT(I$3),SUM(M$4:M14))</f>
        <v>#N/A</v>
      </c>
      <c r="O14" s="184" t="b">
        <f ca="1">IF(ISERROR(MATCH(N14,INDIRECT(ProductTable!$Y$4),0)),FALSE,TRUE)</f>
        <v>0</v>
      </c>
      <c r="P14" s="184" t="e">
        <f ca="1">MATCH(TRUE,OFFSET(INDIRECT(O$3),SUM(P$4:P13),0),0)</f>
        <v>#N/A</v>
      </c>
      <c r="Q14" s="184" t="str">
        <f ca="1">IF(ISERROR(P14),"",INDEX(INDIRECT(N$3),SUM($P$4:$P14)))</f>
        <v/>
      </c>
      <c r="S14" s="134">
        <f ca="1">MATCH(TRUE,OFFSET(INDIRECT(INDEX(INDIRECT(CT_STAtoANT!$A$5),MATCH(SelectionTables!$G$4,INDIRECT(CT_STAtoANT!$G$2),0),0)),0,SUM($S$4:$S13),1,ProductTable!$H$2-SUM($S$4:$S13)),0)</f>
        <v>1</v>
      </c>
      <c r="T14" s="184" t="str">
        <f ca="1">INDEX(INDIRECT(CT_STAtoANT!$G$3),1,SUM($S$4:$S14))</f>
        <v>AirLancer ON-QT90</v>
      </c>
      <c r="U14" s="184" t="b">
        <f ca="1">IF(ISERROR(MATCH(T14,INDIRECT(ProductTable!$J$4),0)),FALSE,TRUE)</f>
        <v>1</v>
      </c>
      <c r="V14" s="184">
        <f ca="1">MATCH(TRUE,OFFSET(INDIRECT($U$3),SUM($V$4:$V13),0,ProductTable!$H$2-SUM($V$4:$V13),1),0)</f>
        <v>1</v>
      </c>
      <c r="W14" s="184" t="str">
        <f ca="1">IF(ISERROR($V14),"",INDEX(INDIRECT($T$3),SUM($V$4:$V14)))</f>
        <v>AirLancer ON-QT90</v>
      </c>
      <c r="Y14" s="184">
        <f ca="1">MATCH(TRUE,OFFSET(INDIRECT(INDEX(INDIRECT(CT_APtoC1!$A$5),MATCH(SelectionTables!$S$4,INDIRECT(CT_APtoC1!$G$2),0),0)),0,SUM($Y$4:$Y13),1,ProductTable!$C$2-SUM($Y$4:$Y13)),0)</f>
        <v>1</v>
      </c>
      <c r="Z14" s="251" t="str">
        <f ca="1">INDEX(INDIRECT(CT_APtoC1!$G$3),1,SUM($Y$4:$Y14))</f>
        <v>O-360ag-Cable 1m</v>
      </c>
      <c r="AA14" s="184" t="e">
        <f ca="1">MATCH(TRUE,OFFSET(INDIRECT(INDEX(INDIRECT(CT_C1toANT!$B$4),0,MATCH(SelectionTables!$U$4,INDIRECT(CT_C1toANT!$G$3),0))),SUM(AA$4:AA13),0,ProductTable!$M$2-SUM(AA$4:AA13)),0)</f>
        <v>#REF!</v>
      </c>
      <c r="AB14" s="251" t="str">
        <f ca="1">IF(ISERROR(AA14),"",INDEX(INDIRECT(CT_C1toANT!$G$2),SUM(AA$4:AA14)))</f>
        <v/>
      </c>
      <c r="AC14" s="184" t="b">
        <f t="shared" ca="1" si="1"/>
        <v>0</v>
      </c>
      <c r="AD14" s="184" t="e">
        <f ca="1">MATCH(TRUE,OFFSET(INDIRECT($AC$3),SUM($AD$4:$AD13),0),0)</f>
        <v>#N/A</v>
      </c>
      <c r="AE14" s="184" t="e">
        <f ca="1">INDEX(INDIRECT($Z$3),SUM($AD$4:$AD14))</f>
        <v>#N/A</v>
      </c>
      <c r="AF14" s="184" t="b">
        <f ca="1">IF(ISERROR(MATCH(AE14,INDIRECT(ProductTable!$O$4),0)),FALSE,TRUE)</f>
        <v>0</v>
      </c>
      <c r="AG14" s="184" t="e">
        <f ca="1">MATCH(TRUE,OFFSET(INDIRECT($AF$3),SUM($AG$4:$AG13),0),0)</f>
        <v>#N/A</v>
      </c>
      <c r="AH14" s="184" t="str">
        <f ca="1">IF(ISERROR(AG14),"",INDEX(INDIRECT($AE$3),SUM($AG$4:$AG14)))</f>
        <v/>
      </c>
      <c r="AJ14" s="184">
        <f ca="1">MATCH(TRUE,OFFSET(INDIRECT(INDEX(INDIRECT(CT_SAtoC1!$A$5),MATCH(SelectionTables!$V$4,INDIRECT(CT_SAtoC1!$G$2),0),0)),0,SUM($AJ$4:$AJ13),1,ProductTable!$C$2-SUM($AJ$4:$AJ13)),0)</f>
        <v>1</v>
      </c>
      <c r="AK14" s="251" t="str">
        <f ca="1">INDEX(INDIRECT(CT_SAtoC1!$G$3),1,SUM($AJ$4:$AJ14))</f>
        <v>O-360ag-Cable 1m</v>
      </c>
      <c r="AL14" s="184" t="e">
        <f ca="1">MATCH(TRUE,OFFSET(INDIRECT(INDEX(INDIRECT(CT_C1toANT!$B$4),0,MATCH(SelectionTables!$U$4,INDIRECT(CT_C1toANT!$G$3),0))),SUM(AL$4:AL13),0,ProductTable!$M$2-SUM(AL$4:AL13)),0)</f>
        <v>#REF!</v>
      </c>
      <c r="AM14" s="251" t="str">
        <f ca="1">IF(ISERROR(AL14),"",INDEX(INDIRECT(CT_C1toANT!$G$2),SUM(AL$4:AL14)))</f>
        <v/>
      </c>
      <c r="AN14" s="184" t="b">
        <f t="shared" ca="1" si="0"/>
        <v>0</v>
      </c>
      <c r="AO14" s="184" t="e">
        <f ca="1">MATCH(TRUE,OFFSET(INDIRECT(AN$3),SUM(AO$4:AO13),0),0)</f>
        <v>#N/A</v>
      </c>
      <c r="AP14" s="184" t="e">
        <f ca="1">INDEX(INDIRECT(AK$3),SUM(AO$4:AO14))</f>
        <v>#N/A</v>
      </c>
      <c r="AQ14" s="184" t="b">
        <f ca="1">IF(ISERROR(MATCH(AP14,INDIRECT(ProductTable!$AI$4),0)),FALSE,TRUE)</f>
        <v>0</v>
      </c>
      <c r="AR14" s="184" t="e">
        <f ca="1">MATCH(TRUE,OFFSET(INDIRECT($AQ$3),SUM($AR$4:$AR13),0),0)</f>
        <v>#N/A</v>
      </c>
      <c r="AS14" s="184" t="str">
        <f ca="1">IF(ISERROR(AR14),"",INDEX(INDIRECT(AP$3),SUM(AR$4:AR14)))</f>
        <v/>
      </c>
      <c r="AU14" s="184">
        <f ca="1">IF(OR(EXACT(SelectionTables!$T$4,ProductTable!$L$7),EXACT(SelectionTables!$T$4,"")),"",ProductTable!T17)</f>
        <v>0</v>
      </c>
      <c r="AW14" s="540">
        <f ca="1">MATCH(TRUE,OFFSET(INDIRECT(INDEX(INDIRECT(CT_STAtoANT!$A$5),MATCH(SelectionTables!$G$4,INDIRECT(CT_STAtoANT!$G$2),0),0)),0,SUM($AW$4:$AW13),1,ProductTable!$H$2-SUM($AW$4:$AW13)),0)</f>
        <v>1</v>
      </c>
      <c r="AX14" s="541" t="str">
        <f ca="1">INDEX(INDIRECT(CT_STAtoANT!$G$3),1,SUM($AW$4:$AW14))</f>
        <v>AirLancer ON-QT90</v>
      </c>
      <c r="AY14" s="541" t="b">
        <f ca="1">IF(ISERROR(MATCH(AX14,INDIRECT(ProductTable!$J$4),0)),FALSE,TRUE)</f>
        <v>1</v>
      </c>
      <c r="AZ14" s="541">
        <f ca="1">MATCH(TRUE,OFFSET(INDIRECT($AY$3),SUM($AZ$4:$AZ13),0,ProductTable!$H$2-SUM($AZ$4:$AZ13),1),0)</f>
        <v>1</v>
      </c>
      <c r="BA14" s="541" t="str">
        <f ca="1">IF(ISERROR($AZ14),"",INDEX(INDIRECT($AX$3),SUM($AZ$4:$AZ14)))</f>
        <v>AirLancer ON-QT90</v>
      </c>
      <c r="BB14" s="541">
        <f ca="1">MATCH(TRUE,OFFSET(INDIRECT(INDEX(INDIRECT(CT_APtoANT!$A$5),MATCH(SelectionTables!$S$4,INDIRECT(CT_APtoANT!$G$2),0),0)),0,SUM($BB$4:$BB13),1,ProductTable!$H$2-SUM($BB$4:$BB13)),0)</f>
        <v>1</v>
      </c>
      <c r="BC14" s="541" t="str">
        <f ca="1">INDEX(INDIRECT(CT_APtoANT!$G$3),1,SUM($BB$4:$BB14))</f>
        <v>AirLancer ON-QT90</v>
      </c>
      <c r="BD14" s="541" t="b">
        <f t="shared" ca="1" si="2"/>
        <v>1</v>
      </c>
      <c r="BE14" s="541">
        <f ca="1">MATCH(TRUE,OFFSET(INDIRECT($BD$3),SUM($BE$4:$BE13),0,ProductTable!$H$2-SUM($BE$4:$BE13),1),0)</f>
        <v>1</v>
      </c>
      <c r="BF14" s="541" t="str">
        <f ca="1">IF(ISERROR($BE14),"",INDEX(INDIRECT($BA$3),SUM($BE$4:$BE14)))</f>
        <v>AirLancer ON-QT90</v>
      </c>
      <c r="BH14" s="541">
        <f ca="1">MATCH(TRUE,OFFSET(INDIRECT(INDEX(INDIRECT(CT_APtoC1!$A$5),MATCH(SelectionTables!$S$4,INDIRECT(CT_APtoC1!$G$2),0),0)),0,SUM($BH$4:$BH13),1,ProductTable!$AG$2-SUM($BH$4:$BH13)),0)</f>
        <v>1</v>
      </c>
      <c r="BI14" s="541" t="str">
        <f ca="1">INDEX(INDIRECT(CT_APtoC1!$G$3),1,SUM($BH$4:$BH14))</f>
        <v>O-360ag-Cable 1m</v>
      </c>
      <c r="BJ14" s="541" t="b">
        <f ca="1">IF(ISERROR(MATCH(BI14,INDIRECT(ProductTable!$AI$4),0)),FALSE,TRUE)</f>
        <v>0</v>
      </c>
      <c r="BK14" s="541" t="e">
        <f ca="1">MATCH(TRUE,OFFSET(INDIRECT($BJ$3),SUM($BK$4:$BK13),0,ProductTable!$AG$2-SUM($BK$4:$BK13),1),0)</f>
        <v>#N/A</v>
      </c>
      <c r="BL14" s="541" t="str">
        <f ca="1">IF(ISERROR($BK14),"",INDEX(INDIRECT($BI$3),SUM($BK$4:$BK14)))</f>
        <v/>
      </c>
    </row>
    <row r="15" spans="2:64" x14ac:dyDescent="0.25">
      <c r="B15" s="184" t="e">
        <f ca="1">MATCH(TRUE,OFFSET(INDIRECT(INDEX(INDIRECT(CT_APtoSTA!$B$4),0,MATCH(SelectionTables!$G$4,INDIRECT(CT_APtoSTA!$G$3),0))),SUM($B$4:$B14),0,ProductTable!$C$2-SUM($B$4:$B14)),0)</f>
        <v>#REF!</v>
      </c>
      <c r="C15" s="184" t="e">
        <f ca="1">INDEX(INDIRECT(CT_APtoSTA!$G$2),SUM($B$4:$B15))</f>
        <v>#REF!</v>
      </c>
      <c r="D15" s="184" t="b">
        <f ca="1">IF(ISERROR(MATCH(C15,INDIRECT(ProductTable!$E$4),0)),FALSE,TRUE)</f>
        <v>0</v>
      </c>
      <c r="E15" s="184" t="e">
        <f ca="1">MATCH(TRUE,OFFSET(INDIRECT($D$3),SUM($E$4:$E14),0,ProductTable!$C$2-SUM($E$4:$E14),1),0)</f>
        <v>#N/A</v>
      </c>
      <c r="F15" s="184" t="str">
        <f ca="1">IF(ISERROR($E15),"",INDEX(INDIRECT($C$3),SUM($E$4:$E15)))</f>
        <v/>
      </c>
      <c r="G15" s="92"/>
      <c r="H15" s="268" t="e">
        <f ca="1">MATCH(TRUE,OFFSET(INDIRECT(INDEX(INDIRECT(CT_STAtoWLAN!$A$5),MATCH(SelectionTables!$G$4,INDIRECT(CT_STAtoWLAN!$G$2),0),0)),0,SUM($H$4:$H14),1,ProductTable!$W$2-SUM($H$4:$H14)),0)</f>
        <v>#REF!</v>
      </c>
      <c r="I15" s="251" t="e">
        <f ca="1">INDEX(INDIRECT(CT_STAtoWLAN!$G$3),1,SUM($H$4:$H15))</f>
        <v>#REF!</v>
      </c>
      <c r="J15" s="268" t="e">
        <f ca="1">MATCH(TRUE,OFFSET(INDIRECT(INDEX(INDIRECT(CT_APtoWLAN!$A$5),MATCH(SelectionTables!$S$4,INDIRECT(CT_APtoWLAN!$G$2),0),0)),0,SUM($J$4:$J14),1,ProductTable!$W$2-SUM($J$4:$J14)),0)</f>
        <v>#REF!</v>
      </c>
      <c r="K15" s="251" t="e">
        <f ca="1">INDEX(INDIRECT(CT_APtoWLAN!$G$3),1,SUM($J$4:$J15))</f>
        <v>#REF!</v>
      </c>
      <c r="L15" s="268" t="b">
        <f t="shared" ca="1" si="3"/>
        <v>0</v>
      </c>
      <c r="M15" s="184" t="e">
        <f ca="1">MATCH(TRUE,OFFSET(INDIRECT(L$3),SUM(M$4:M14),0),0)</f>
        <v>#N/A</v>
      </c>
      <c r="N15" s="251" t="e">
        <f ca="1">INDEX(INDIRECT(I$3),SUM(M$4:M15))</f>
        <v>#N/A</v>
      </c>
      <c r="O15" s="184" t="b">
        <f ca="1">IF(ISERROR(MATCH(N15,INDIRECT(ProductTable!$Y$4),0)),FALSE,TRUE)</f>
        <v>0</v>
      </c>
      <c r="P15" s="184" t="e">
        <f ca="1">MATCH(TRUE,OFFSET(INDIRECT(O$3),SUM(P$4:P14),0),0)</f>
        <v>#N/A</v>
      </c>
      <c r="Q15" s="184" t="str">
        <f ca="1">IF(ISERROR(P15),"",INDEX(INDIRECT(N$3),SUM($P$4:$P15)))</f>
        <v/>
      </c>
      <c r="S15" s="134">
        <f ca="1">MATCH(TRUE,OFFSET(INDIRECT(INDEX(INDIRECT(CT_STAtoANT!$A$5),MATCH(SelectionTables!$G$4,INDIRECT(CT_STAtoANT!$G$2),0),0)),0,SUM($S$4:$S14),1,ProductTable!$H$2-SUM($S$4:$S14)),0)</f>
        <v>1</v>
      </c>
      <c r="T15" s="184" t="str">
        <f ca="1">INDEX(INDIRECT(CT_STAtoANT!$G$3),1,SUM($S$4:$S15))</f>
        <v>OAP-821 intern</v>
      </c>
      <c r="U15" s="184" t="b">
        <f ca="1">IF(ISERROR(MATCH(T15,INDIRECT(ProductTable!$J$4),0)),FALSE,TRUE)</f>
        <v>1</v>
      </c>
      <c r="V15" s="184">
        <f ca="1">MATCH(TRUE,OFFSET(INDIRECT($U$3),SUM($V$4:$V14),0,ProductTable!$H$2-SUM($V$4:$V14),1),0)</f>
        <v>1</v>
      </c>
      <c r="W15" s="184" t="str">
        <f ca="1">IF(ISERROR($V15),"",INDEX(INDIRECT($T$3),SUM($V$4:$V15)))</f>
        <v>OAP-821 intern</v>
      </c>
      <c r="Y15" s="184">
        <f ca="1">MATCH(TRUE,OFFSET(INDIRECT(INDEX(INDIRECT(CT_APtoC1!$A$5),MATCH(SelectionTables!$S$4,INDIRECT(CT_APtoC1!$G$2),0),0)),0,SUM($Y$4:$Y14),1,ProductTable!$C$2-SUM($Y$4:$Y14)),0)</f>
        <v>1</v>
      </c>
      <c r="Z15" s="251" t="str">
        <f ca="1">INDEX(INDIRECT(CT_APtoC1!$G$3),1,SUM($Y$4:$Y15))</f>
        <v>OAP-Cable 1m</v>
      </c>
      <c r="AA15" s="184" t="e">
        <f ca="1">MATCH(TRUE,OFFSET(INDIRECT(INDEX(INDIRECT(CT_C1toANT!$B$4),0,MATCH(SelectionTables!$U$4,INDIRECT(CT_C1toANT!$G$3),0))),SUM(AA$4:AA14),0,ProductTable!$M$2-SUM(AA$4:AA14)),0)</f>
        <v>#REF!</v>
      </c>
      <c r="AB15" s="251" t="str">
        <f ca="1">IF(ISERROR(AA15),"",INDEX(INDIRECT(CT_C1toANT!$G$2),SUM(AA$4:AA15)))</f>
        <v/>
      </c>
      <c r="AC15" s="184" t="b">
        <f t="shared" ca="1" si="1"/>
        <v>0</v>
      </c>
      <c r="AD15" s="184" t="e">
        <f ca="1">MATCH(TRUE,OFFSET(INDIRECT($AC$3),SUM($AD$4:$AD14),0),0)</f>
        <v>#N/A</v>
      </c>
      <c r="AE15" s="184" t="e">
        <f ca="1">INDEX(INDIRECT($Z$3),SUM($AD$4:$AD15))</f>
        <v>#N/A</v>
      </c>
      <c r="AF15" s="184" t="b">
        <f ca="1">IF(ISERROR(MATCH(AE15,INDIRECT(ProductTable!$O$4),0)),FALSE,TRUE)</f>
        <v>0</v>
      </c>
      <c r="AG15" s="184" t="e">
        <f ca="1">MATCH(TRUE,OFFSET(INDIRECT($AF$3),SUM($AG$4:$AG14),0),0)</f>
        <v>#N/A</v>
      </c>
      <c r="AH15" s="184" t="str">
        <f ca="1">IF(ISERROR(AG15),"",INDEX(INDIRECT($AE$3),SUM($AG$4:$AG15)))</f>
        <v/>
      </c>
      <c r="AJ15" s="184">
        <f ca="1">MATCH(TRUE,OFFSET(INDIRECT(INDEX(INDIRECT(CT_SAtoC1!$A$5),MATCH(SelectionTables!$V$4,INDIRECT(CT_SAtoC1!$G$2),0),0)),0,SUM($AJ$4:$AJ14),1,ProductTable!$C$2-SUM($AJ$4:$AJ14)),0)</f>
        <v>1</v>
      </c>
      <c r="AK15" s="251" t="str">
        <f ca="1">INDEX(INDIRECT(CT_SAtoC1!$G$3),1,SUM($AJ$4:$AJ15))</f>
        <v>OAP-Cable 1m</v>
      </c>
      <c r="AL15" s="184" t="e">
        <f ca="1">MATCH(TRUE,OFFSET(INDIRECT(INDEX(INDIRECT(CT_C1toANT!$B$4),0,MATCH(SelectionTables!$U$4,INDIRECT(CT_C1toANT!$G$3),0))),SUM(AL$4:AL14),0,ProductTable!$M$2-SUM(AL$4:AL14)),0)</f>
        <v>#REF!</v>
      </c>
      <c r="AM15" s="251" t="str">
        <f ca="1">IF(ISERROR(AL15),"",INDEX(INDIRECT(CT_C1toANT!$G$2),SUM(AL$4:AL15)))</f>
        <v/>
      </c>
      <c r="AN15" s="184" t="b">
        <f t="shared" ca="1" si="0"/>
        <v>0</v>
      </c>
      <c r="AO15" s="184" t="e">
        <f ca="1">MATCH(TRUE,OFFSET(INDIRECT(AN$3),SUM(AO$4:AO14),0),0)</f>
        <v>#N/A</v>
      </c>
      <c r="AP15" s="184" t="e">
        <f ca="1">INDEX(INDIRECT(AK$3),SUM(AO$4:AO15))</f>
        <v>#N/A</v>
      </c>
      <c r="AQ15" s="184" t="b">
        <f ca="1">IF(ISERROR(MATCH(AP15,INDIRECT(ProductTable!$AI$4),0)),FALSE,TRUE)</f>
        <v>0</v>
      </c>
      <c r="AR15" s="184" t="e">
        <f ca="1">MATCH(TRUE,OFFSET(INDIRECT($AQ$3),SUM($AR$4:$AR14),0),0)</f>
        <v>#N/A</v>
      </c>
      <c r="AS15" s="184" t="str">
        <f ca="1">IF(ISERROR(AR15),"",INDEX(INDIRECT(AP$3),SUM(AR$4:AR15)))</f>
        <v/>
      </c>
      <c r="AU15" s="184">
        <f ca="1">IF(OR(EXACT(SelectionTables!$T$4,ProductTable!$L$7),EXACT(SelectionTables!$T$4,"")),"",ProductTable!T18)</f>
        <v>0</v>
      </c>
      <c r="AW15" s="540">
        <f ca="1">MATCH(TRUE,OFFSET(INDIRECT(INDEX(INDIRECT(CT_STAtoANT!$A$5),MATCH(SelectionTables!$G$4,INDIRECT(CT_STAtoANT!$G$2),0),0)),0,SUM($AW$4:$AW14),1,ProductTable!$H$2-SUM($AW$4:$AW14)),0)</f>
        <v>1</v>
      </c>
      <c r="AX15" s="541" t="str">
        <f ca="1">INDEX(INDIRECT(CT_STAtoANT!$G$3),1,SUM($AW$4:$AW15))</f>
        <v>OAP-821 intern</v>
      </c>
      <c r="AY15" s="541" t="b">
        <f ca="1">IF(ISERROR(MATCH(AX15,INDIRECT(ProductTable!$J$4),0)),FALSE,TRUE)</f>
        <v>1</v>
      </c>
      <c r="AZ15" s="541">
        <f ca="1">MATCH(TRUE,OFFSET(INDIRECT($AY$3),SUM($AZ$4:$AZ14),0,ProductTable!$H$2-SUM($AZ$4:$AZ14),1),0)</f>
        <v>1</v>
      </c>
      <c r="BA15" s="541" t="str">
        <f ca="1">IF(ISERROR($AZ15),"",INDEX(INDIRECT($AX$3),SUM($AZ$4:$AZ15)))</f>
        <v>OAP-821 intern</v>
      </c>
      <c r="BB15" s="541">
        <f ca="1">MATCH(TRUE,OFFSET(INDIRECT(INDEX(INDIRECT(CT_APtoANT!$A$5),MATCH(SelectionTables!$S$4,INDIRECT(CT_APtoANT!$G$2),0),0)),0,SUM($BB$4:$BB14),1,ProductTable!$H$2-SUM($BB$4:$BB14)),0)</f>
        <v>2</v>
      </c>
      <c r="BC15" s="541" t="str">
        <f ca="1">INDEX(INDIRECT(CT_APtoANT!$G$3),1,SUM($BB$4:$BB15))</f>
        <v>Other antenna</v>
      </c>
      <c r="BD15" s="541" t="b">
        <f t="shared" ca="1" si="2"/>
        <v>0</v>
      </c>
      <c r="BE15" s="541">
        <f ca="1">MATCH(TRUE,OFFSET(INDIRECT($BD$3),SUM($BE$4:$BE14),0,ProductTable!$H$2-SUM($BE$4:$BE14),1),0)</f>
        <v>2</v>
      </c>
      <c r="BF15" s="541" t="str">
        <f ca="1">IF(ISERROR($BE15),"",INDEX(INDIRECT($BA$3),SUM($BE$4:$BE15)))</f>
        <v>Other antenna</v>
      </c>
      <c r="BH15" s="541">
        <f ca="1">MATCH(TRUE,OFFSET(INDIRECT(INDEX(INDIRECT(CT_APtoC1!$A$5),MATCH(SelectionTables!$S$4,INDIRECT(CT_APtoC1!$G$2),0),0)),0,SUM($BH$4:$BH14),1,ProductTable!$AG$2-SUM($BH$4:$BH14)),0)</f>
        <v>1</v>
      </c>
      <c r="BI15" s="541" t="str">
        <f ca="1">INDEX(INDIRECT(CT_APtoC1!$G$3),1,SUM($BH$4:$BH15))</f>
        <v>OAP-Cable 1m</v>
      </c>
      <c r="BJ15" s="541" t="b">
        <f ca="1">IF(ISERROR(MATCH(BI15,INDIRECT(ProductTable!$AI$4),0)),FALSE,TRUE)</f>
        <v>0</v>
      </c>
      <c r="BK15" s="541" t="e">
        <f ca="1">MATCH(TRUE,OFFSET(INDIRECT($BJ$3),SUM($BK$4:$BK14),0,ProductTable!$AG$2-SUM($BK$4:$BK14),1),0)</f>
        <v>#N/A</v>
      </c>
      <c r="BL15" s="541" t="str">
        <f ca="1">IF(ISERROR($BK15),"",INDEX(INDIRECT($BI$3),SUM($BK$4:$BK15)))</f>
        <v/>
      </c>
    </row>
    <row r="16" spans="2:64" x14ac:dyDescent="0.25">
      <c r="B16" s="184" t="e">
        <f ca="1">MATCH(TRUE,OFFSET(INDIRECT(INDEX(INDIRECT(CT_APtoSTA!$B$4),0,MATCH(SelectionTables!$G$4,INDIRECT(CT_APtoSTA!$G$3),0))),SUM($B$4:$B15),0,ProductTable!$C$2-SUM($B$4:$B15)),0)</f>
        <v>#REF!</v>
      </c>
      <c r="C16" s="184" t="e">
        <f ca="1">INDEX(INDIRECT(CT_APtoSTA!$G$2),SUM($B$4:$B16))</f>
        <v>#REF!</v>
      </c>
      <c r="D16" s="184" t="b">
        <f ca="1">IF(ISERROR(MATCH(C16,INDIRECT(ProductTable!$E$4),0)),FALSE,TRUE)</f>
        <v>0</v>
      </c>
      <c r="E16" s="184" t="e">
        <f ca="1">MATCH(TRUE,OFFSET(INDIRECT($D$3),SUM($E$4:$E15),0,ProductTable!$C$2-SUM($E$4:$E15),1),0)</f>
        <v>#N/A</v>
      </c>
      <c r="F16" s="184" t="str">
        <f ca="1">IF(ISERROR($E16),"",INDEX(INDIRECT($C$3),SUM($E$4:$E16)))</f>
        <v/>
      </c>
      <c r="G16" s="92"/>
      <c r="H16" s="268" t="e">
        <f ca="1">MATCH(TRUE,OFFSET(INDIRECT(INDEX(INDIRECT(CT_STAtoWLAN!$A$5),MATCH(SelectionTables!$G$4,INDIRECT(CT_STAtoWLAN!$G$2),0),0)),0,SUM($H$4:$H15),1,ProductTable!$W$2-SUM($H$4:$H15)),0)</f>
        <v>#REF!</v>
      </c>
      <c r="I16" s="251" t="e">
        <f ca="1">INDEX(INDIRECT(CT_STAtoWLAN!$G$3),1,SUM($H$4:$H16))</f>
        <v>#REF!</v>
      </c>
      <c r="J16" s="268" t="e">
        <f ca="1">MATCH(TRUE,OFFSET(INDIRECT(INDEX(INDIRECT(CT_APtoWLAN!$A$5),MATCH(SelectionTables!$S$4,INDIRECT(CT_APtoWLAN!$G$2),0),0)),0,SUM($J$4:$J15),1,ProductTable!$W$2-SUM($J$4:$J15)),0)</f>
        <v>#REF!</v>
      </c>
      <c r="K16" s="251" t="e">
        <f ca="1">INDEX(INDIRECT(CT_APtoWLAN!$G$3),1,SUM($J$4:$J16))</f>
        <v>#REF!</v>
      </c>
      <c r="L16" s="268" t="b">
        <f t="shared" ca="1" si="3"/>
        <v>0</v>
      </c>
      <c r="M16" s="184" t="e">
        <f ca="1">MATCH(TRUE,OFFSET(INDIRECT(L$3),SUM(M$4:M15),0),0)</f>
        <v>#N/A</v>
      </c>
      <c r="N16" s="251" t="e">
        <f ca="1">INDEX(INDIRECT(I$3),SUM(M$4:M16))</f>
        <v>#N/A</v>
      </c>
      <c r="O16" s="184" t="b">
        <f ca="1">IF(ISERROR(MATCH(N16,INDIRECT(ProductTable!$Y$4),0)),FALSE,TRUE)</f>
        <v>0</v>
      </c>
      <c r="P16" s="184" t="e">
        <f ca="1">MATCH(TRUE,OFFSET(INDIRECT(O$3),SUM(P$4:P15),0),0)</f>
        <v>#N/A</v>
      </c>
      <c r="Q16" s="184" t="str">
        <f ca="1">IF(ISERROR(P16),"",INDEX(INDIRECT(N$3),SUM($P$4:$P16)))</f>
        <v/>
      </c>
      <c r="S16" s="134">
        <f ca="1">MATCH(TRUE,OFFSET(INDIRECT(INDEX(INDIRECT(CT_STAtoANT!$A$5),MATCH(SelectionTables!$G$4,INDIRECT(CT_STAtoANT!$G$2),0),0)),0,SUM($S$4:$S15),1,ProductTable!$H$2-SUM($S$4:$S15)),0)</f>
        <v>1</v>
      </c>
      <c r="T16" s="184" t="str">
        <f ca="1">INDEX(INDIRECT(CT_STAtoANT!$G$3),1,SUM($S$4:$S16))</f>
        <v>Other antenna</v>
      </c>
      <c r="U16" s="184" t="b">
        <f ca="1">IF(ISERROR(MATCH(T16,INDIRECT(ProductTable!$J$4),0)),FALSE,TRUE)</f>
        <v>1</v>
      </c>
      <c r="V16" s="184">
        <f ca="1">MATCH(TRUE,OFFSET(INDIRECT($U$3),SUM($V$4:$V15),0,ProductTable!$H$2-SUM($V$4:$V15),1),0)</f>
        <v>1</v>
      </c>
      <c r="W16" s="184" t="str">
        <f ca="1">IF(ISERROR($V16),"",INDEX(INDIRECT($T$3),SUM($V$4:$V16)))</f>
        <v>Other antenna</v>
      </c>
      <c r="Y16" s="184" t="e">
        <f ca="1">MATCH(TRUE,OFFSET(INDIRECT(INDEX(INDIRECT(CT_APtoC1!$A$5),MATCH(SelectionTables!$S$4,INDIRECT(CT_APtoC1!$G$2),0),0)),0,SUM($Y$4:$Y15),1,ProductTable!$C$2-SUM($Y$4:$Y15)),0)</f>
        <v>#REF!</v>
      </c>
      <c r="Z16" s="251" t="e">
        <f ca="1">INDEX(INDIRECT(CT_APtoC1!$G$3),1,SUM($Y$4:$Y16))</f>
        <v>#REF!</v>
      </c>
      <c r="AA16" s="184" t="e">
        <f ca="1">MATCH(TRUE,OFFSET(INDIRECT(INDEX(INDIRECT(CT_C1toANT!$B$4),0,MATCH(SelectionTables!$U$4,INDIRECT(CT_C1toANT!$G$3),0))),SUM(AA$4:AA15),0,ProductTable!$M$2-SUM(AA$4:AA15)),0)</f>
        <v>#REF!</v>
      </c>
      <c r="AB16" s="251" t="str">
        <f ca="1">IF(ISERROR(AA16),"",INDEX(INDIRECT(CT_C1toANT!$G$2),SUM(AA$4:AA16)))</f>
        <v/>
      </c>
      <c r="AC16" s="184" t="b">
        <f t="shared" ca="1" si="1"/>
        <v>0</v>
      </c>
      <c r="AD16" s="184" t="e">
        <f ca="1">MATCH(TRUE,OFFSET(INDIRECT($AC$3),SUM($AD$4:$AD15),0),0)</f>
        <v>#N/A</v>
      </c>
      <c r="AE16" s="184" t="e">
        <f ca="1">INDEX(INDIRECT($Z$3),SUM($AD$4:$AD16))</f>
        <v>#N/A</v>
      </c>
      <c r="AF16" s="184" t="b">
        <f ca="1">IF(ISERROR(MATCH(AE16,INDIRECT(ProductTable!$O$4),0)),FALSE,TRUE)</f>
        <v>0</v>
      </c>
      <c r="AG16" s="184" t="e">
        <f ca="1">MATCH(TRUE,OFFSET(INDIRECT($AF$3),SUM($AG$4:$AG15),0),0)</f>
        <v>#N/A</v>
      </c>
      <c r="AH16" s="184" t="str">
        <f ca="1">IF(ISERROR(AG16),"",INDEX(INDIRECT($AE$3),SUM($AG$4:$AG16)))</f>
        <v/>
      </c>
      <c r="AJ16" s="184" t="e">
        <f ca="1">MATCH(TRUE,OFFSET(INDIRECT(INDEX(INDIRECT(CT_SAtoC1!$A$5),MATCH(SelectionTables!$V$4,INDIRECT(CT_SAtoC1!$G$2),0),0)),0,SUM($AJ$4:$AJ15),1,ProductTable!$C$2-SUM($AJ$4:$AJ15)),0)</f>
        <v>#REF!</v>
      </c>
      <c r="AK16" s="251" t="e">
        <f ca="1">INDEX(INDIRECT(CT_SAtoC1!$G$3),1,SUM($AJ$4:$AJ16))</f>
        <v>#REF!</v>
      </c>
      <c r="AL16" s="184" t="e">
        <f ca="1">MATCH(TRUE,OFFSET(INDIRECT(INDEX(INDIRECT(CT_C1toANT!$B$4),0,MATCH(SelectionTables!$U$4,INDIRECT(CT_C1toANT!$G$3),0))),SUM(AL$4:AL15),0,ProductTable!$M$2-SUM(AL$4:AL15)),0)</f>
        <v>#REF!</v>
      </c>
      <c r="AM16" s="251" t="str">
        <f ca="1">IF(ISERROR(AL16),"",INDEX(INDIRECT(CT_C1toANT!$G$2),SUM(AL$4:AL16)))</f>
        <v/>
      </c>
      <c r="AN16" s="184" t="b">
        <f t="shared" ca="1" si="0"/>
        <v>0</v>
      </c>
      <c r="AO16" s="184" t="e">
        <f ca="1">MATCH(TRUE,OFFSET(INDIRECT(AN$3),SUM(AO$4:AO15),0),0)</f>
        <v>#N/A</v>
      </c>
      <c r="AP16" s="184" t="e">
        <f ca="1">INDEX(INDIRECT(AK$3),SUM(AO$4:AO16))</f>
        <v>#N/A</v>
      </c>
      <c r="AQ16" s="184" t="b">
        <f ca="1">IF(ISERROR(MATCH(AP16,INDIRECT(ProductTable!$AI$4),0)),FALSE,TRUE)</f>
        <v>0</v>
      </c>
      <c r="AR16" s="184" t="e">
        <f ca="1">MATCH(TRUE,OFFSET(INDIRECT($AQ$3),SUM($AR$4:$AR15),0),0)</f>
        <v>#N/A</v>
      </c>
      <c r="AS16" s="184" t="str">
        <f ca="1">IF(ISERROR(AR16),"",INDEX(INDIRECT(AP$3),SUM(AR$4:AR16)))</f>
        <v/>
      </c>
      <c r="AU16" s="184">
        <f ca="1">IF(OR(EXACT(SelectionTables!$T$4,ProductTable!$L$7),EXACT(SelectionTables!$T$4,"")),"",ProductTable!T19)</f>
        <v>0</v>
      </c>
      <c r="AW16" s="540">
        <f ca="1">MATCH(TRUE,OFFSET(INDIRECT(INDEX(INDIRECT(CT_STAtoANT!$A$5),MATCH(SelectionTables!$G$4,INDIRECT(CT_STAtoANT!$G$2),0),0)),0,SUM($AW$4:$AW15),1,ProductTable!$H$2-SUM($AW$4:$AW15)),0)</f>
        <v>1</v>
      </c>
      <c r="AX16" s="541" t="str">
        <f ca="1">INDEX(INDIRECT(CT_STAtoANT!$G$3),1,SUM($AW$4:$AW16))</f>
        <v>Other antenna</v>
      </c>
      <c r="AY16" s="541" t="b">
        <f ca="1">IF(ISERROR(MATCH(AX16,INDIRECT(ProductTable!$J$4),0)),FALSE,TRUE)</f>
        <v>1</v>
      </c>
      <c r="AZ16" s="541">
        <f ca="1">MATCH(TRUE,OFFSET(INDIRECT($AY$3),SUM($AZ$4:$AZ15),0,ProductTable!$H$2-SUM($AZ$4:$AZ15),1),0)</f>
        <v>1</v>
      </c>
      <c r="BA16" s="541" t="str">
        <f ca="1">IF(ISERROR($AZ16),"",INDEX(INDIRECT($AX$3),SUM($AZ$4:$AZ16)))</f>
        <v>Other antenna</v>
      </c>
      <c r="BB16" s="541">
        <f ca="1">MATCH(TRUE,OFFSET(INDIRECT(INDEX(INDIRECT(CT_APtoANT!$A$5),MATCH(SelectionTables!$S$4,INDIRECT(CT_APtoANT!$G$2),0),0)),0,SUM($BB$4:$BB15),1,ProductTable!$H$2-SUM($BB$4:$BB15)),0)</f>
        <v>1</v>
      </c>
      <c r="BC16" s="541" t="str">
        <f ca="1">INDEX(INDIRECT(CT_APtoANT!$G$3),1,SUM($BB$4:$BB16))</f>
        <v>Default antenna</v>
      </c>
      <c r="BD16" s="541" t="b">
        <f t="shared" ca="1" si="2"/>
        <v>1</v>
      </c>
      <c r="BE16" s="541">
        <f ca="1">MATCH(TRUE,OFFSET(INDIRECT($BD$3),SUM($BE$4:$BE15),0,ProductTable!$H$2-SUM($BE$4:$BE15),1),0)</f>
        <v>1</v>
      </c>
      <c r="BF16" s="541" t="str">
        <f ca="1">IF(ISERROR($BE16),"",INDEX(INDIRECT($BA$3),SUM($BE$4:$BE16)))</f>
        <v>Default antenna</v>
      </c>
      <c r="BH16" s="541">
        <f ca="1">MATCH(TRUE,OFFSET(INDIRECT(INDEX(INDIRECT(CT_APtoC1!$A$5),MATCH(SelectionTables!$S$4,INDIRECT(CT_APtoC1!$G$2),0),0)),0,SUM($BH$4:$BH15),1,ProductTable!$AG$2-SUM($BH$4:$BH15)),0)</f>
        <v>1</v>
      </c>
      <c r="BI16" s="541" t="str">
        <f ca="1">INDEX(INDIRECT(CT_APtoC1!$G$3),1,SUM($BH$4:$BH16))</f>
        <v>OAP-Cable 10cm</v>
      </c>
      <c r="BJ16" s="541" t="b">
        <f ca="1">IF(ISERROR(MATCH(BI16,INDIRECT(ProductTable!$AI$4),0)),FALSE,TRUE)</f>
        <v>0</v>
      </c>
      <c r="BK16" s="541" t="e">
        <f ca="1">MATCH(TRUE,OFFSET(INDIRECT($BJ$3),SUM($BK$4:$BK15),0,ProductTable!$AG$2-SUM($BK$4:$BK15),1),0)</f>
        <v>#N/A</v>
      </c>
      <c r="BL16" s="541" t="str">
        <f ca="1">IF(ISERROR($BK16),"",INDEX(INDIRECT($BI$3),SUM($BK$4:$BK16)))</f>
        <v/>
      </c>
    </row>
    <row r="17" spans="2:64" x14ac:dyDescent="0.25">
      <c r="B17" s="184" t="e">
        <f ca="1">MATCH(TRUE,OFFSET(INDIRECT(INDEX(INDIRECT(CT_APtoSTA!$B$4),0,MATCH(SelectionTables!$G$4,INDIRECT(CT_APtoSTA!$G$3),0))),SUM($B$4:$B16),0,ProductTable!$C$2-SUM($B$4:$B16)),0)</f>
        <v>#REF!</v>
      </c>
      <c r="C17" s="184" t="e">
        <f ca="1">INDEX(INDIRECT(CT_APtoSTA!$G$2),SUM($B$4:$B17))</f>
        <v>#REF!</v>
      </c>
      <c r="D17" s="184" t="b">
        <f ca="1">IF(ISERROR(MATCH(C17,INDIRECT(ProductTable!$E$4),0)),FALSE,TRUE)</f>
        <v>0</v>
      </c>
      <c r="E17" s="184" t="e">
        <f ca="1">MATCH(TRUE,OFFSET(INDIRECT($D$3),SUM($E$4:$E16),0,ProductTable!$C$2-SUM($E$4:$E16),1),0)</f>
        <v>#N/A</v>
      </c>
      <c r="F17" s="184" t="str">
        <f ca="1">IF(ISERROR($E17),"",INDEX(INDIRECT($C$3),SUM($E$4:$E17)))</f>
        <v/>
      </c>
      <c r="G17" s="92"/>
      <c r="H17" s="268" t="e">
        <f ca="1">MATCH(TRUE,OFFSET(INDIRECT(INDEX(INDIRECT(CT_STAtoWLAN!$A$5),MATCH(SelectionTables!$G$4,INDIRECT(CT_STAtoWLAN!$G$2),0),0)),0,SUM($H$4:$H16),1,ProductTable!$W$2-SUM($H$4:$H16)),0)</f>
        <v>#REF!</v>
      </c>
      <c r="I17" s="251" t="e">
        <f ca="1">INDEX(INDIRECT(CT_STAtoWLAN!$G$3),1,SUM($H$4:$H17))</f>
        <v>#REF!</v>
      </c>
      <c r="J17" s="268" t="e">
        <f ca="1">MATCH(TRUE,OFFSET(INDIRECT(INDEX(INDIRECT(CT_APtoWLAN!$A$5),MATCH(SelectionTables!$S$4,INDIRECT(CT_APtoWLAN!$G$2),0),0)),0,SUM($J$4:$J16),1,ProductTable!$W$2-SUM($J$4:$J16)),0)</f>
        <v>#REF!</v>
      </c>
      <c r="K17" s="251" t="e">
        <f ca="1">INDEX(INDIRECT(CT_APtoWLAN!$G$3),1,SUM($J$4:$J17))</f>
        <v>#REF!</v>
      </c>
      <c r="L17" s="268" t="b">
        <f t="shared" ca="1" si="3"/>
        <v>0</v>
      </c>
      <c r="M17" s="184" t="e">
        <f ca="1">MATCH(TRUE,OFFSET(INDIRECT(L$3),SUM(M$4:M16),0),0)</f>
        <v>#N/A</v>
      </c>
      <c r="N17" s="251" t="e">
        <f ca="1">INDEX(INDIRECT(I$3),SUM(M$4:M17))</f>
        <v>#N/A</v>
      </c>
      <c r="O17" s="184" t="b">
        <f ca="1">IF(ISERROR(MATCH(N17,INDIRECT(ProductTable!$Y$4),0)),FALSE,TRUE)</f>
        <v>0</v>
      </c>
      <c r="P17" s="184" t="e">
        <f ca="1">MATCH(TRUE,OFFSET(INDIRECT(O$3),SUM(P$4:P16),0),0)</f>
        <v>#N/A</v>
      </c>
      <c r="Q17" s="184" t="str">
        <f ca="1">IF(ISERROR(P17),"",INDEX(INDIRECT(N$3),SUM($P$4:$P17)))</f>
        <v/>
      </c>
      <c r="S17" s="134">
        <f ca="1">MATCH(TRUE,OFFSET(INDIRECT(INDEX(INDIRECT(CT_STAtoANT!$A$5),MATCH(SelectionTables!$G$4,INDIRECT(CT_STAtoANT!$G$2),0),0)),0,SUM($S$4:$S16),1,ProductTable!$H$2-SUM($S$4:$S16)),0)</f>
        <v>1</v>
      </c>
      <c r="T17" s="184" t="str">
        <f ca="1">INDEX(INDIRECT(CT_STAtoANT!$G$3),1,SUM($S$4:$S17))</f>
        <v>Default antenna</v>
      </c>
      <c r="U17" s="184" t="b">
        <f ca="1">IF(ISERROR(MATCH(T17,INDIRECT(ProductTable!$J$4),0)),FALSE,TRUE)</f>
        <v>1</v>
      </c>
      <c r="V17" s="184">
        <f ca="1">MATCH(TRUE,OFFSET(INDIRECT($U$3),SUM($V$4:$V16),0,ProductTable!$H$2-SUM($V$4:$V16),1),0)</f>
        <v>1</v>
      </c>
      <c r="W17" s="184" t="str">
        <f ca="1">IF(ISERROR($V17),"",INDEX(INDIRECT($T$3),SUM($V$4:$V17)))</f>
        <v>Default antenna</v>
      </c>
      <c r="Y17" s="184" t="e">
        <f ca="1">MATCH(TRUE,OFFSET(INDIRECT(INDEX(INDIRECT(CT_APtoC1!$A$5),MATCH(SelectionTables!$S$4,INDIRECT(CT_APtoC1!$G$2),0),0)),0,SUM($Y$4:$Y16),1,ProductTable!$C$2-SUM($Y$4:$Y16)),0)</f>
        <v>#REF!</v>
      </c>
      <c r="Z17" s="251" t="e">
        <f ca="1">INDEX(INDIRECT(CT_APtoC1!$G$3),1,SUM($Y$4:$Y17))</f>
        <v>#REF!</v>
      </c>
      <c r="AA17" s="184" t="e">
        <f ca="1">MATCH(TRUE,OFFSET(INDIRECT(INDEX(INDIRECT(CT_C1toANT!$B$4),0,MATCH(SelectionTables!$U$4,INDIRECT(CT_C1toANT!$G$3),0))),SUM(AA$4:AA16),0,ProductTable!$M$2-SUM(AA$4:AA16)),0)</f>
        <v>#REF!</v>
      </c>
      <c r="AB17" s="251" t="str">
        <f ca="1">IF(ISERROR(AA17),"",INDEX(INDIRECT(CT_C1toANT!$G$2),SUM(AA$4:AA17)))</f>
        <v/>
      </c>
      <c r="AC17" s="184" t="b">
        <f t="shared" ca="1" si="1"/>
        <v>0</v>
      </c>
      <c r="AD17" s="184" t="e">
        <f ca="1">MATCH(TRUE,OFFSET(INDIRECT($AC$3),SUM($AD$4:$AD16),0),0)</f>
        <v>#N/A</v>
      </c>
      <c r="AE17" s="184" t="e">
        <f ca="1">INDEX(INDIRECT($Z$3),SUM($AD$4:$AD17))</f>
        <v>#N/A</v>
      </c>
      <c r="AF17" s="184" t="b">
        <f ca="1">IF(ISERROR(MATCH(AE17,INDIRECT(ProductTable!$O$4),0)),FALSE,TRUE)</f>
        <v>0</v>
      </c>
      <c r="AG17" s="184" t="e">
        <f ca="1">MATCH(TRUE,OFFSET(INDIRECT($AF$3),SUM($AG$4:$AG16),0),0)</f>
        <v>#N/A</v>
      </c>
      <c r="AH17" s="184" t="str">
        <f ca="1">IF(ISERROR(AG17),"",INDEX(INDIRECT($AE$3),SUM($AG$4:$AG17)))</f>
        <v/>
      </c>
      <c r="AJ17" s="184" t="e">
        <f ca="1">MATCH(TRUE,OFFSET(INDIRECT(INDEX(INDIRECT(CT_SAtoC1!$A$5),MATCH(SelectionTables!$V$4,INDIRECT(CT_SAtoC1!$G$2),0),0)),0,SUM($AJ$4:$AJ16),1,ProductTable!$C$2-SUM($AJ$4:$AJ16)),0)</f>
        <v>#REF!</v>
      </c>
      <c r="AK17" s="251" t="e">
        <f ca="1">INDEX(INDIRECT(CT_SAtoC1!$G$3),1,SUM($AJ$4:$AJ17))</f>
        <v>#REF!</v>
      </c>
      <c r="AL17" s="184" t="e">
        <f ca="1">MATCH(TRUE,OFFSET(INDIRECT(INDEX(INDIRECT(CT_C1toANT!$B$4),0,MATCH(SelectionTables!$U$4,INDIRECT(CT_C1toANT!$G$3),0))),SUM(AL$4:AL16),0,ProductTable!$M$2-SUM(AL$4:AL16)),0)</f>
        <v>#REF!</v>
      </c>
      <c r="AM17" s="251" t="str">
        <f ca="1">IF(ISERROR(AL17),"",INDEX(INDIRECT(CT_C1toANT!$G$2),SUM(AL$4:AL17)))</f>
        <v/>
      </c>
      <c r="AN17" s="184" t="b">
        <f t="shared" ca="1" si="0"/>
        <v>0</v>
      </c>
      <c r="AO17" s="184" t="e">
        <f ca="1">MATCH(TRUE,OFFSET(INDIRECT(AN$3),SUM(AO$4:AO16),0),0)</f>
        <v>#N/A</v>
      </c>
      <c r="AP17" s="184" t="e">
        <f ca="1">INDEX(INDIRECT(AK$3),SUM(AO$4:AO17))</f>
        <v>#N/A</v>
      </c>
      <c r="AQ17" s="184" t="b">
        <f ca="1">IF(ISERROR(MATCH(AP17,INDIRECT(ProductTable!$AI$4),0)),FALSE,TRUE)</f>
        <v>0</v>
      </c>
      <c r="AR17" s="184" t="e">
        <f ca="1">MATCH(TRUE,OFFSET(INDIRECT($AQ$3),SUM($AR$4:$AR16),0),0)</f>
        <v>#N/A</v>
      </c>
      <c r="AS17" s="184" t="str">
        <f ca="1">IF(ISERROR(AR17),"",INDEX(INDIRECT(AP$3),SUM(AR$4:AR17)))</f>
        <v/>
      </c>
      <c r="AU17" s="184">
        <f ca="1">IF(OR(EXACT(SelectionTables!$T$4,ProductTable!$L$7),EXACT(SelectionTables!$T$4,"")),"",ProductTable!T20)</f>
        <v>0</v>
      </c>
      <c r="AW17" s="540">
        <f ca="1">MATCH(TRUE,OFFSET(INDIRECT(INDEX(INDIRECT(CT_STAtoANT!$A$5),MATCH(SelectionTables!$G$4,INDIRECT(CT_STAtoANT!$G$2),0),0)),0,SUM($AW$4:$AW16),1,ProductTable!$H$2-SUM($AW$4:$AW16)),0)</f>
        <v>1</v>
      </c>
      <c r="AX17" s="541" t="str">
        <f ca="1">INDEX(INDIRECT(CT_STAtoANT!$G$3),1,SUM($AW$4:$AW17))</f>
        <v>Default antenna</v>
      </c>
      <c r="AY17" s="541" t="b">
        <f ca="1">IF(ISERROR(MATCH(AX17,INDIRECT(ProductTable!$J$4),0)),FALSE,TRUE)</f>
        <v>1</v>
      </c>
      <c r="AZ17" s="541">
        <f ca="1">MATCH(TRUE,OFFSET(INDIRECT($AY$3),SUM($AZ$4:$AZ16),0,ProductTable!$H$2-SUM($AZ$4:$AZ16),1),0)</f>
        <v>1</v>
      </c>
      <c r="BA17" s="541" t="str">
        <f ca="1">IF(ISERROR($AZ17),"",INDEX(INDIRECT($AX$3),SUM($AZ$4:$AZ17)))</f>
        <v>Default antenna</v>
      </c>
      <c r="BB17" s="541" t="e">
        <f ca="1">MATCH(TRUE,OFFSET(INDIRECT(INDEX(INDIRECT(CT_APtoANT!$A$5),MATCH(SelectionTables!$S$4,INDIRECT(CT_APtoANT!$G$2),0),0)),0,SUM($BB$4:$BB16),1,ProductTable!$H$2-SUM($BB$4:$BB16)),0)</f>
        <v>#REF!</v>
      </c>
      <c r="BC17" s="541" t="e">
        <f ca="1">INDEX(INDIRECT(CT_APtoANT!$G$3),1,SUM($BB$4:$BB17))</f>
        <v>#REF!</v>
      </c>
      <c r="BD17" s="541" t="b">
        <f t="shared" ca="1" si="2"/>
        <v>1</v>
      </c>
      <c r="BE17" s="541" t="e">
        <f ca="1">MATCH(TRUE,OFFSET(INDIRECT($BD$3),SUM($BE$4:$BE16),0,ProductTable!$H$2-SUM($BE$4:$BE16),1),0)</f>
        <v>#REF!</v>
      </c>
      <c r="BF17" s="541" t="str">
        <f ca="1">IF(ISERROR($BE17),"",INDEX(INDIRECT($BA$3),SUM($BE$4:$BE17)))</f>
        <v/>
      </c>
      <c r="BH17" s="541">
        <f ca="1">MATCH(TRUE,OFFSET(INDIRECT(INDEX(INDIRECT(CT_APtoC1!$A$5),MATCH(SelectionTables!$S$4,INDIRECT(CT_APtoC1!$G$2),0),0)),0,SUM($BH$4:$BH16),1,ProductTable!$AG$2-SUM($BH$4:$BH16)),0)</f>
        <v>1</v>
      </c>
      <c r="BI17" s="541" t="str">
        <f ca="1">INDEX(INDIRECT(CT_APtoC1!$G$3),1,SUM($BH$4:$BH17))</f>
        <v>AirLancer Cable NP-NP 20cm</v>
      </c>
      <c r="BJ17" s="541" t="b">
        <f ca="1">IF(ISERROR(MATCH(BI17,INDIRECT(ProductTable!$AI$4),0)),FALSE,TRUE)</f>
        <v>0</v>
      </c>
      <c r="BK17" s="541" t="e">
        <f ca="1">MATCH(TRUE,OFFSET(INDIRECT($BJ$3),SUM($BK$4:$BK16),0,ProductTable!$AG$2-SUM($BK$4:$BK16),1),0)</f>
        <v>#N/A</v>
      </c>
      <c r="BL17" s="541" t="str">
        <f ca="1">IF(ISERROR($BK17),"",INDEX(INDIRECT($BI$3),SUM($BK$4:$BK17)))</f>
        <v/>
      </c>
    </row>
    <row r="18" spans="2:64" x14ac:dyDescent="0.25">
      <c r="B18" s="184" t="e">
        <f ca="1">MATCH(TRUE,OFFSET(INDIRECT(INDEX(INDIRECT(CT_APtoSTA!$B$4),0,MATCH(SelectionTables!$G$4,INDIRECT(CT_APtoSTA!$G$3),0))),SUM($B$4:$B17),0,ProductTable!$C$2-SUM($B$4:$B17)),0)</f>
        <v>#REF!</v>
      </c>
      <c r="C18" s="184" t="e">
        <f ca="1">INDEX(INDIRECT(CT_APtoSTA!$G$2),SUM($B$4:$B18))</f>
        <v>#REF!</v>
      </c>
      <c r="D18" s="184" t="b">
        <f ca="1">IF(ISERROR(MATCH(C18,INDIRECT(ProductTable!$E$4),0)),FALSE,TRUE)</f>
        <v>0</v>
      </c>
      <c r="E18" s="184" t="e">
        <f ca="1">MATCH(TRUE,OFFSET(INDIRECT($D$3),SUM($E$4:$E17),0,ProductTable!$C$2-SUM($E$4:$E17),1),0)</f>
        <v>#N/A</v>
      </c>
      <c r="F18" s="184" t="str">
        <f ca="1">IF(ISERROR($E18),"",INDEX(INDIRECT($C$3),SUM($E$4:$E18)))</f>
        <v/>
      </c>
      <c r="G18" s="92"/>
      <c r="H18" s="268" t="e">
        <f ca="1">MATCH(TRUE,OFFSET(INDIRECT(INDEX(INDIRECT(CT_STAtoWLAN!$A$5),MATCH(SelectionTables!$G$4,INDIRECT(CT_STAtoWLAN!$G$2),0),0)),0,SUM($H$4:$H17),1,ProductTable!$W$2-SUM($H$4:$H17)),0)</f>
        <v>#REF!</v>
      </c>
      <c r="I18" s="251" t="e">
        <f ca="1">INDEX(INDIRECT(CT_STAtoWLAN!$G$3),1,SUM($H$4:$H18))</f>
        <v>#REF!</v>
      </c>
      <c r="J18" s="268" t="e">
        <f ca="1">MATCH(TRUE,OFFSET(INDIRECT(INDEX(INDIRECT(CT_APtoWLAN!$A$5),MATCH(SelectionTables!$S$4,INDIRECT(CT_APtoWLAN!$G$2),0),0)),0,SUM($J$4:$J17),1,ProductTable!$W$2-SUM($J$4:$J17)),0)</f>
        <v>#REF!</v>
      </c>
      <c r="K18" s="251" t="e">
        <f ca="1">INDEX(INDIRECT(CT_APtoWLAN!$G$3),1,SUM($J$4:$J18))</f>
        <v>#REF!</v>
      </c>
      <c r="L18" s="268" t="b">
        <f t="shared" ca="1" si="3"/>
        <v>0</v>
      </c>
      <c r="M18" s="184" t="e">
        <f ca="1">MATCH(TRUE,OFFSET(INDIRECT(L$3),SUM(M$4:M17),0),0)</f>
        <v>#N/A</v>
      </c>
      <c r="N18" s="251" t="e">
        <f ca="1">INDEX(INDIRECT(I$3),SUM(M$4:M18))</f>
        <v>#N/A</v>
      </c>
      <c r="O18" s="184" t="b">
        <f ca="1">IF(ISERROR(MATCH(N18,INDIRECT(ProductTable!$Y$4),0)),FALSE,TRUE)</f>
        <v>0</v>
      </c>
      <c r="P18" s="184" t="e">
        <f ca="1">MATCH(TRUE,OFFSET(INDIRECT(O$3),SUM(P$4:P17),0),0)</f>
        <v>#N/A</v>
      </c>
      <c r="Q18" s="184" t="str">
        <f ca="1">IF(ISERROR(P18),"",INDEX(INDIRECT(N$3),SUM($P$4:$P18)))</f>
        <v/>
      </c>
      <c r="S18" s="134" t="e">
        <f ca="1">MATCH(TRUE,OFFSET(INDIRECT(INDEX(INDIRECT(CT_STAtoANT!$A$5),MATCH(SelectionTables!$G$4,INDIRECT(CT_STAtoANT!$G$2),0),0)),0,SUM($S$4:$S17),1,ProductTable!$H$2-SUM($S$4:$S17)),0)</f>
        <v>#REF!</v>
      </c>
      <c r="T18" s="184" t="e">
        <f ca="1">INDEX(INDIRECT(CT_STAtoANT!$G$3),1,SUM($S$4:$S18))</f>
        <v>#REF!</v>
      </c>
      <c r="U18" s="184" t="b">
        <f ca="1">IF(ISERROR(MATCH(T18,INDIRECT(ProductTable!$J$4),0)),FALSE,TRUE)</f>
        <v>0</v>
      </c>
      <c r="V18" s="184" t="e">
        <f ca="1">MATCH(TRUE,OFFSET(INDIRECT($U$3),SUM($V$4:$V17),0,ProductTable!$H$2-SUM($V$4:$V17),1),0)</f>
        <v>#REF!</v>
      </c>
      <c r="W18" s="184" t="str">
        <f ca="1">IF(ISERROR($V18),"",INDEX(INDIRECT($T$3),SUM($V$4:$V18)))</f>
        <v/>
      </c>
      <c r="Y18" s="184" t="e">
        <f ca="1">MATCH(TRUE,OFFSET(INDIRECT(INDEX(INDIRECT(CT_APtoC1!$A$5),MATCH(SelectionTables!$S$4,INDIRECT(CT_APtoC1!$G$2),0),0)),0,SUM($Y$4:$Y17),1,ProductTable!$C$2-SUM($Y$4:$Y17)),0)</f>
        <v>#REF!</v>
      </c>
      <c r="Z18" s="251" t="e">
        <f ca="1">INDEX(INDIRECT(CT_APtoC1!$G$3),1,SUM($Y$4:$Y18))</f>
        <v>#REF!</v>
      </c>
      <c r="AA18" s="184" t="e">
        <f ca="1">MATCH(TRUE,OFFSET(INDIRECT(INDEX(INDIRECT(CT_C1toANT!$B$4),0,MATCH(SelectionTables!$U$4,INDIRECT(CT_C1toANT!$G$3),0))),SUM(AA$4:AA17),0,ProductTable!$M$2-SUM(AA$4:AA17)),0)</f>
        <v>#REF!</v>
      </c>
      <c r="AB18" s="251" t="str">
        <f ca="1">IF(ISERROR(AA18),"",INDEX(INDIRECT(CT_C1toANT!$G$2),SUM(AA$4:AA18)))</f>
        <v/>
      </c>
      <c r="AC18" s="184" t="b">
        <f t="shared" ca="1" si="1"/>
        <v>0</v>
      </c>
      <c r="AD18" s="184" t="e">
        <f ca="1">MATCH(TRUE,OFFSET(INDIRECT($AC$3),SUM($AD$4:$AD17),0),0)</f>
        <v>#N/A</v>
      </c>
      <c r="AE18" s="184" t="e">
        <f ca="1">INDEX(INDIRECT($Z$3),SUM($AD$4:$AD18))</f>
        <v>#N/A</v>
      </c>
      <c r="AF18" s="184" t="b">
        <f ca="1">IF(ISERROR(MATCH(AE18,INDIRECT(ProductTable!$O$4),0)),FALSE,TRUE)</f>
        <v>0</v>
      </c>
      <c r="AG18" s="184" t="e">
        <f ca="1">MATCH(TRUE,OFFSET(INDIRECT($AF$3),SUM($AG$4:$AG17),0),0)</f>
        <v>#N/A</v>
      </c>
      <c r="AH18" s="184" t="str">
        <f ca="1">IF(ISERROR(AG18),"",INDEX(INDIRECT($AE$3),SUM($AG$4:$AG18)))</f>
        <v/>
      </c>
      <c r="AJ18" s="184" t="e">
        <f ca="1">MATCH(TRUE,OFFSET(INDIRECT(INDEX(INDIRECT(CT_SAtoC1!$A$5),MATCH(SelectionTables!$V$4,INDIRECT(CT_SAtoC1!$G$2),0),0)),0,SUM($AJ$4:$AJ17),1,ProductTable!$C$2-SUM($AJ$4:$AJ17)),0)</f>
        <v>#REF!</v>
      </c>
      <c r="AK18" s="251" t="e">
        <f ca="1">INDEX(INDIRECT(CT_SAtoC1!$G$3),1,SUM($AJ$4:$AJ18))</f>
        <v>#REF!</v>
      </c>
      <c r="AL18" s="184" t="e">
        <f ca="1">MATCH(TRUE,OFFSET(INDIRECT(INDEX(INDIRECT(CT_C1toANT!$B$4),0,MATCH(SelectionTables!$U$4,INDIRECT(CT_C1toANT!$G$3),0))),SUM(AL$4:AL17),0,ProductTable!$M$2-SUM(AL$4:AL17)),0)</f>
        <v>#REF!</v>
      </c>
      <c r="AM18" s="251" t="str">
        <f ca="1">IF(ISERROR(AL18),"",INDEX(INDIRECT(CT_C1toANT!$G$2),SUM(AL$4:AL18)))</f>
        <v/>
      </c>
      <c r="AN18" s="184" t="b">
        <f t="shared" ca="1" si="0"/>
        <v>0</v>
      </c>
      <c r="AO18" s="184" t="e">
        <f ca="1">MATCH(TRUE,OFFSET(INDIRECT(AN$3),SUM(AO$4:AO17),0),0)</f>
        <v>#N/A</v>
      </c>
      <c r="AP18" s="184" t="e">
        <f ca="1">INDEX(INDIRECT(AK$3),SUM(AO$4:AO18))</f>
        <v>#N/A</v>
      </c>
      <c r="AQ18" s="184" t="b">
        <f ca="1">IF(ISERROR(MATCH(AP18,INDIRECT(ProductTable!$AI$4),0)),FALSE,TRUE)</f>
        <v>0</v>
      </c>
      <c r="AR18" s="184" t="e">
        <f ca="1">MATCH(TRUE,OFFSET(INDIRECT($AQ$3),SUM($AR$4:$AR17),0),0)</f>
        <v>#N/A</v>
      </c>
      <c r="AS18" s="184" t="str">
        <f ca="1">IF(ISERROR(AR18),"",INDEX(INDIRECT(AP$3),SUM(AR$4:AR18)))</f>
        <v/>
      </c>
      <c r="AU18" s="184">
        <f ca="1">IF(OR(EXACT(SelectionTables!$T$4,ProductTable!$L$7),EXACT(SelectionTables!$T$4,"")),"",ProductTable!T21)</f>
        <v>0</v>
      </c>
      <c r="AW18" s="540" t="e">
        <f ca="1">MATCH(TRUE,OFFSET(INDIRECT(INDEX(INDIRECT(CT_STAtoANT!$A$5),MATCH(SelectionTables!$G$4,INDIRECT(CT_STAtoANT!$G$2),0),0)),0,SUM($AW$4:$AW17),1,ProductTable!$H$2-SUM($AW$4:$AW17)),0)</f>
        <v>#REF!</v>
      </c>
      <c r="AX18" s="541" t="e">
        <f ca="1">INDEX(INDIRECT(CT_STAtoANT!$G$3),1,SUM($AW$4:$AW18))</f>
        <v>#REF!</v>
      </c>
      <c r="AY18" s="541" t="b">
        <f ca="1">IF(ISERROR(MATCH(AX18,INDIRECT(ProductTable!$J$4),0)),FALSE,TRUE)</f>
        <v>0</v>
      </c>
      <c r="AZ18" s="541" t="e">
        <f ca="1">MATCH(TRUE,OFFSET(INDIRECT($AY$3),SUM($AZ$4:$AZ17),0,ProductTable!$H$2-SUM($AZ$4:$AZ17),1),0)</f>
        <v>#REF!</v>
      </c>
      <c r="BA18" s="541" t="str">
        <f ca="1">IF(ISERROR($AZ18),"",INDEX(INDIRECT($AX$3),SUM($AZ$4:$AZ18)))</f>
        <v/>
      </c>
      <c r="BB18" s="541" t="e">
        <f ca="1">MATCH(TRUE,OFFSET(INDIRECT(INDEX(INDIRECT(CT_APtoANT!$A$5),MATCH(SelectionTables!$S$4,INDIRECT(CT_APtoANT!$G$2),0),0)),0,SUM($BB$4:$BB17),1,ProductTable!$H$2-SUM($BB$4:$BB17)),0)</f>
        <v>#REF!</v>
      </c>
      <c r="BC18" s="541" t="e">
        <f ca="1">INDEX(INDIRECT(CT_APtoANT!$G$3),1,SUM($BB$4:$BB18))</f>
        <v>#REF!</v>
      </c>
      <c r="BD18" s="541" t="b">
        <f t="shared" ca="1" si="2"/>
        <v>0</v>
      </c>
      <c r="BE18" s="541" t="e">
        <f ca="1">MATCH(TRUE,OFFSET(INDIRECT($BD$3),SUM($BE$4:$BE17),0,ProductTable!$H$2-SUM($BE$4:$BE17),1),0)</f>
        <v>#REF!</v>
      </c>
      <c r="BF18" s="541" t="str">
        <f ca="1">IF(ISERROR($BE18),"",INDEX(INDIRECT($BA$3),SUM($BE$4:$BE18)))</f>
        <v/>
      </c>
      <c r="BH18" s="541">
        <f ca="1">MATCH(TRUE,OFFSET(INDIRECT(INDEX(INDIRECT(CT_APtoC1!$A$5),MATCH(SelectionTables!$S$4,INDIRECT(CT_APtoC1!$G$2),0),0)),0,SUM($BH$4:$BH17),1,ProductTable!$AG$2-SUM($BH$4:$BH17)),0)</f>
        <v>1</v>
      </c>
      <c r="BI18" s="541" t="str">
        <f ca="1">INDEX(INDIRECT(CT_APtoC1!$G$3),1,SUM($BH$4:$BH18))</f>
        <v>AirLancer AN-RPSMA-NJ</v>
      </c>
      <c r="BJ18" s="541" t="b">
        <f ca="1">IF(ISERROR(MATCH(BI18,INDIRECT(ProductTable!$AI$4),0)),FALSE,TRUE)</f>
        <v>0</v>
      </c>
      <c r="BK18" s="541" t="e">
        <f ca="1">MATCH(TRUE,OFFSET(INDIRECT($BJ$3),SUM($BK$4:$BK17),0,ProductTable!$AG$2-SUM($BK$4:$BK17),1),0)</f>
        <v>#N/A</v>
      </c>
      <c r="BL18" s="541" t="str">
        <f ca="1">IF(ISERROR($BK18),"",INDEX(INDIRECT($BI$3),SUM($BK$4:$BK18)))</f>
        <v/>
      </c>
    </row>
    <row r="19" spans="2:64" x14ac:dyDescent="0.25">
      <c r="B19" s="184" t="e">
        <f ca="1">MATCH(TRUE,OFFSET(INDIRECT(INDEX(INDIRECT(CT_APtoSTA!$B$4),0,MATCH(SelectionTables!$G$4,INDIRECT(CT_APtoSTA!$G$3),0))),SUM($B$4:$B18),0,ProductTable!$C$2-SUM($B$4:$B18)),0)</f>
        <v>#REF!</v>
      </c>
      <c r="C19" s="184" t="e">
        <f ca="1">INDEX(INDIRECT(CT_APtoSTA!$G$2),SUM($B$4:$B19))</f>
        <v>#REF!</v>
      </c>
      <c r="D19" s="184" t="b">
        <f ca="1">IF(ISERROR(MATCH(C19,INDIRECT(ProductTable!$E$4),0)),FALSE,TRUE)</f>
        <v>0</v>
      </c>
      <c r="E19" s="184" t="e">
        <f ca="1">MATCH(TRUE,OFFSET(INDIRECT($D$3),SUM($E$4:$E18),0,ProductTable!$C$2-SUM($E$4:$E18),1),0)</f>
        <v>#N/A</v>
      </c>
      <c r="F19" s="184" t="str">
        <f ca="1">IF(ISERROR($E19),"",INDEX(INDIRECT($C$3),SUM($E$4:$E19)))</f>
        <v/>
      </c>
      <c r="G19" s="92"/>
      <c r="H19" s="268" t="e">
        <f ca="1">MATCH(TRUE,OFFSET(INDIRECT(INDEX(INDIRECT(CT_STAtoWLAN!$A$5),MATCH(SelectionTables!$G$4,INDIRECT(CT_STAtoWLAN!$G$2),0),0)),0,SUM($H$4:$H18),1,ProductTable!$W$2-SUM($H$4:$H18)),0)</f>
        <v>#REF!</v>
      </c>
      <c r="I19" s="251" t="e">
        <f ca="1">INDEX(INDIRECT(CT_STAtoWLAN!$G$3),1,SUM($H$4:$H19))</f>
        <v>#REF!</v>
      </c>
      <c r="J19" s="268" t="e">
        <f ca="1">MATCH(TRUE,OFFSET(INDIRECT(INDEX(INDIRECT(CT_APtoWLAN!$A$5),MATCH(SelectionTables!$S$4,INDIRECT(CT_APtoWLAN!$G$2),0),0)),0,SUM($J$4:$J18),1,ProductTable!$W$2-SUM($J$4:$J18)),0)</f>
        <v>#REF!</v>
      </c>
      <c r="K19" s="251" t="e">
        <f ca="1">INDEX(INDIRECT(CT_APtoWLAN!$G$3),1,SUM($J$4:$J19))</f>
        <v>#REF!</v>
      </c>
      <c r="L19" s="268" t="b">
        <f t="shared" ca="1" si="3"/>
        <v>0</v>
      </c>
      <c r="M19" s="184" t="e">
        <f ca="1">MATCH(TRUE,OFFSET(INDIRECT(L$3),SUM(M$4:M18),0),0)</f>
        <v>#N/A</v>
      </c>
      <c r="N19" s="251" t="e">
        <f ca="1">INDEX(INDIRECT(I$3),SUM(M$4:M19))</f>
        <v>#N/A</v>
      </c>
      <c r="O19" s="184" t="b">
        <f ca="1">IF(ISERROR(MATCH(N19,INDIRECT(ProductTable!$Y$4),0)),FALSE,TRUE)</f>
        <v>0</v>
      </c>
      <c r="P19" s="184" t="e">
        <f ca="1">MATCH(TRUE,OFFSET(INDIRECT(O$3),SUM(P$4:P18),0),0)</f>
        <v>#N/A</v>
      </c>
      <c r="Q19" s="184" t="str">
        <f ca="1">IF(ISERROR(P19),"",INDEX(INDIRECT(N$3),SUM($P$4:$P19)))</f>
        <v/>
      </c>
      <c r="S19" s="134" t="e">
        <f ca="1">MATCH(TRUE,OFFSET(INDIRECT(INDEX(INDIRECT(CT_STAtoANT!$A$5),MATCH(SelectionTables!$G$4,INDIRECT(CT_STAtoANT!$G$2),0),0)),0,SUM($S$4:$S18),1,ProductTable!$H$2-SUM($S$4:$S18)),0)</f>
        <v>#REF!</v>
      </c>
      <c r="T19" s="184" t="e">
        <f ca="1">INDEX(INDIRECT(CT_STAtoANT!$G$3),1,SUM($S$4:$S19))</f>
        <v>#REF!</v>
      </c>
      <c r="U19" s="184" t="b">
        <f ca="1">IF(ISERROR(MATCH(T19,INDIRECT(ProductTable!$J$4),0)),FALSE,TRUE)</f>
        <v>0</v>
      </c>
      <c r="V19" s="184" t="e">
        <f ca="1">MATCH(TRUE,OFFSET(INDIRECT($U$3),SUM($V$4:$V18),0,ProductTable!$H$2-SUM($V$4:$V18),1),0)</f>
        <v>#REF!</v>
      </c>
      <c r="W19" s="184" t="str">
        <f ca="1">IF(ISERROR($V19),"",INDEX(INDIRECT($T$3),SUM($V$4:$V19)))</f>
        <v/>
      </c>
      <c r="Y19" s="184" t="e">
        <f ca="1">MATCH(TRUE,OFFSET(INDIRECT(INDEX(INDIRECT(CT_APtoC1!$A$5),MATCH(SelectionTables!$S$4,INDIRECT(CT_APtoC1!$G$2),0),0)),0,SUM($Y$4:$Y18),1,ProductTable!$C$2-SUM($Y$4:$Y18)),0)</f>
        <v>#REF!</v>
      </c>
      <c r="Z19" s="251" t="e">
        <f ca="1">INDEX(INDIRECT(CT_APtoC1!$G$3),1,SUM($Y$4:$Y19))</f>
        <v>#REF!</v>
      </c>
      <c r="AA19" s="184" t="e">
        <f ca="1">MATCH(TRUE,OFFSET(INDIRECT(INDEX(INDIRECT(CT_C1toANT!$B$4),0,MATCH(SelectionTables!$U$4,INDIRECT(CT_C1toANT!$G$3),0))),SUM(AA$4:AA18),0,ProductTable!$M$2-SUM(AA$4:AA18)),0)</f>
        <v>#REF!</v>
      </c>
      <c r="AB19" s="251" t="str">
        <f ca="1">IF(ISERROR(AA19),"",INDEX(INDIRECT(CT_C1toANT!$G$2),SUM(AA$4:AA19)))</f>
        <v/>
      </c>
      <c r="AC19" s="184" t="b">
        <f t="shared" ca="1" si="1"/>
        <v>0</v>
      </c>
      <c r="AD19" s="184" t="e">
        <f ca="1">MATCH(TRUE,OFFSET(INDIRECT($AC$3),SUM($AD$4:$AD18),0),0)</f>
        <v>#N/A</v>
      </c>
      <c r="AE19" s="184" t="e">
        <f ca="1">INDEX(INDIRECT($Z$3),SUM($AD$4:$AD19))</f>
        <v>#N/A</v>
      </c>
      <c r="AF19" s="184" t="b">
        <f ca="1">IF(ISERROR(MATCH(AE19,INDIRECT(ProductTable!$O$4),0)),FALSE,TRUE)</f>
        <v>0</v>
      </c>
      <c r="AG19" s="184" t="e">
        <f ca="1">MATCH(TRUE,OFFSET(INDIRECT($AF$3),SUM($AG$4:$AG18),0),0)</f>
        <v>#N/A</v>
      </c>
      <c r="AH19" s="184" t="str">
        <f ca="1">IF(ISERROR(AG19),"",INDEX(INDIRECT($AE$3),SUM($AG$4:$AG19)))</f>
        <v/>
      </c>
      <c r="AJ19" s="184" t="e">
        <f ca="1">MATCH(TRUE,OFFSET(INDIRECT(INDEX(INDIRECT(CT_SAtoC1!$A$5),MATCH(SelectionTables!$V$4,INDIRECT(CT_SAtoC1!$G$2),0),0)),0,SUM($AJ$4:$AJ18),1,ProductTable!$C$2-SUM($AJ$4:$AJ18)),0)</f>
        <v>#REF!</v>
      </c>
      <c r="AK19" s="251" t="e">
        <f ca="1">INDEX(INDIRECT(CT_SAtoC1!$G$3),1,SUM($AJ$4:$AJ19))</f>
        <v>#REF!</v>
      </c>
      <c r="AL19" s="184" t="e">
        <f ca="1">MATCH(TRUE,OFFSET(INDIRECT(INDEX(INDIRECT(CT_C1toANT!$B$4),0,MATCH(SelectionTables!$U$4,INDIRECT(CT_C1toANT!$G$3),0))),SUM(AL$4:AL18),0,ProductTable!$M$2-SUM(AL$4:AL18)),0)</f>
        <v>#REF!</v>
      </c>
      <c r="AM19" s="251" t="str">
        <f ca="1">IF(ISERROR(AL19),"",INDEX(INDIRECT(CT_C1toANT!$G$2),SUM(AL$4:AL19)))</f>
        <v/>
      </c>
      <c r="AN19" s="184" t="b">
        <f t="shared" ca="1" si="0"/>
        <v>0</v>
      </c>
      <c r="AO19" s="184" t="e">
        <f ca="1">MATCH(TRUE,OFFSET(INDIRECT(AN$3),SUM(AO$4:AO18),0),0)</f>
        <v>#N/A</v>
      </c>
      <c r="AP19" s="184" t="e">
        <f ca="1">INDEX(INDIRECT(AK$3),SUM(AO$4:AO19))</f>
        <v>#N/A</v>
      </c>
      <c r="AQ19" s="184" t="b">
        <f ca="1">IF(ISERROR(MATCH(AP19,INDIRECT(ProductTable!$AI$4),0)),FALSE,TRUE)</f>
        <v>0</v>
      </c>
      <c r="AR19" s="184" t="e">
        <f ca="1">MATCH(TRUE,OFFSET(INDIRECT($AQ$3),SUM($AR$4:$AR18),0),0)</f>
        <v>#N/A</v>
      </c>
      <c r="AS19" s="184" t="str">
        <f ca="1">IF(ISERROR(AR19),"",INDEX(INDIRECT(AP$3),SUM(AR$4:AR19)))</f>
        <v/>
      </c>
      <c r="AU19" s="184">
        <f ca="1">IF(OR(EXACT(SelectionTables!$T$4,ProductTable!$L$7),EXACT(SelectionTables!$T$4,"")),"",ProductTable!T22)</f>
        <v>0</v>
      </c>
      <c r="AW19" s="540" t="e">
        <f ca="1">MATCH(TRUE,OFFSET(INDIRECT(INDEX(INDIRECT(CT_STAtoANT!$A$5),MATCH(SelectionTables!$G$4,INDIRECT(CT_STAtoANT!$G$2),0),0)),0,SUM($AW$4:$AW18),1,ProductTable!$H$2-SUM($AW$4:$AW18)),0)</f>
        <v>#REF!</v>
      </c>
      <c r="AX19" s="541" t="e">
        <f ca="1">INDEX(INDIRECT(CT_STAtoANT!$G$3),1,SUM($AW$4:$AW19))</f>
        <v>#REF!</v>
      </c>
      <c r="AY19" s="541" t="b">
        <f ca="1">IF(ISERROR(MATCH(AX19,INDIRECT(ProductTable!$J$4),0)),FALSE,TRUE)</f>
        <v>0</v>
      </c>
      <c r="AZ19" s="541" t="e">
        <f ca="1">MATCH(TRUE,OFFSET(INDIRECT($AY$3),SUM($AZ$4:$AZ18),0,ProductTable!$H$2-SUM($AZ$4:$AZ18),1),0)</f>
        <v>#REF!</v>
      </c>
      <c r="BA19" s="541" t="str">
        <f ca="1">IF(ISERROR($AZ19),"",INDEX(INDIRECT($AX$3),SUM($AZ$4:$AZ19)))</f>
        <v/>
      </c>
      <c r="BB19" s="541" t="e">
        <f ca="1">MATCH(TRUE,OFFSET(INDIRECT(INDEX(INDIRECT(CT_APtoANT!$A$5),MATCH(SelectionTables!$S$4,INDIRECT(CT_APtoANT!$G$2),0),0)),0,SUM($BB$4:$BB18),1,ProductTable!$H$2-SUM($BB$4:$BB18)),0)</f>
        <v>#REF!</v>
      </c>
      <c r="BC19" s="541" t="e">
        <f ca="1">INDEX(INDIRECT(CT_APtoANT!$G$3),1,SUM($BB$4:$BB19))</f>
        <v>#REF!</v>
      </c>
      <c r="BD19" s="541" t="b">
        <f t="shared" ca="1" si="2"/>
        <v>0</v>
      </c>
      <c r="BE19" s="541" t="e">
        <f ca="1">MATCH(TRUE,OFFSET(INDIRECT($BD$3),SUM($BE$4:$BE18),0,ProductTable!$H$2-SUM($BE$4:$BE18),1),0)</f>
        <v>#REF!</v>
      </c>
      <c r="BF19" s="541" t="str">
        <f ca="1">IF(ISERROR($BE19),"",INDEX(INDIRECT($BA$3),SUM($BE$4:$BE19)))</f>
        <v/>
      </c>
      <c r="BH19" s="541">
        <f ca="1">MATCH(TRUE,OFFSET(INDIRECT(INDEX(INDIRECT(CT_APtoC1!$A$5),MATCH(SelectionTables!$S$4,INDIRECT(CT_APtoC1!$G$2),0),0)),0,SUM($BH$4:$BH18),1,ProductTable!$AG$2-SUM($BH$4:$BH18)),0)</f>
        <v>1</v>
      </c>
      <c r="BI19" s="541" t="str">
        <f ca="1">INDEX(INDIRECT(CT_APtoC1!$G$3),1,SUM($BH$4:$BH19))</f>
        <v>No cable</v>
      </c>
      <c r="BJ19" s="541" t="b">
        <f ca="1">IF(ISERROR(MATCH(BI19,INDIRECT(ProductTable!$AI$4),0)),FALSE,TRUE)</f>
        <v>1</v>
      </c>
      <c r="BK19" s="541" t="e">
        <f ca="1">MATCH(TRUE,OFFSET(INDIRECT($BJ$3),SUM($BK$4:$BK18),0,ProductTable!$AG$2-SUM($BK$4:$BK18),1),0)</f>
        <v>#N/A</v>
      </c>
      <c r="BL19" s="541" t="str">
        <f ca="1">IF(ISERROR($BK19),"",INDEX(INDIRECT($BI$3),SUM($BK$4:$BK19)))</f>
        <v/>
      </c>
    </row>
    <row r="20" spans="2:64" x14ac:dyDescent="0.25">
      <c r="B20" s="184" t="e">
        <f ca="1">MATCH(TRUE,OFFSET(INDIRECT(INDEX(INDIRECT(CT_APtoSTA!$B$4),0,MATCH(SelectionTables!$G$4,INDIRECT(CT_APtoSTA!$G$3),0))),SUM($B$4:$B19),0,ProductTable!$C$2-SUM($B$4:$B19)),0)</f>
        <v>#REF!</v>
      </c>
      <c r="C20" s="184" t="e">
        <f ca="1">INDEX(INDIRECT(CT_APtoSTA!$G$2),SUM($B$4:$B20))</f>
        <v>#REF!</v>
      </c>
      <c r="D20" s="184" t="b">
        <f ca="1">IF(ISERROR(MATCH(C20,INDIRECT(ProductTable!$E$4),0)),FALSE,TRUE)</f>
        <v>0</v>
      </c>
      <c r="E20" s="184" t="e">
        <f ca="1">MATCH(TRUE,OFFSET(INDIRECT($D$3),SUM($E$4:$E19),0,ProductTable!$C$2-SUM($E$4:$E19),1),0)</f>
        <v>#N/A</v>
      </c>
      <c r="F20" s="184" t="str">
        <f ca="1">IF(ISERROR($E20),"",INDEX(INDIRECT($C$3),SUM($E$4:$E20)))</f>
        <v/>
      </c>
      <c r="G20" s="92"/>
      <c r="H20" s="268" t="e">
        <f ca="1">MATCH(TRUE,OFFSET(INDIRECT(INDEX(INDIRECT(CT_STAtoWLAN!$A$5),MATCH(SelectionTables!$G$4,INDIRECT(CT_STAtoWLAN!$G$2),0),0)),0,SUM($H$4:$H19),1,ProductTable!$W$2-SUM($H$4:$H19)),0)</f>
        <v>#REF!</v>
      </c>
      <c r="I20" s="251" t="e">
        <f ca="1">INDEX(INDIRECT(CT_STAtoWLAN!$G$3),1,SUM($H$4:$H20))</f>
        <v>#REF!</v>
      </c>
      <c r="J20" s="268" t="e">
        <f ca="1">MATCH(TRUE,OFFSET(INDIRECT(INDEX(INDIRECT(CT_APtoWLAN!$A$5),MATCH(SelectionTables!$S$4,INDIRECT(CT_APtoWLAN!$G$2),0),0)),0,SUM($J$4:$J19),1,ProductTable!$W$2-SUM($J$4:$J19)),0)</f>
        <v>#REF!</v>
      </c>
      <c r="K20" s="251" t="e">
        <f ca="1">INDEX(INDIRECT(CT_APtoWLAN!$G$3),1,SUM($J$4:$J20))</f>
        <v>#REF!</v>
      </c>
      <c r="L20" s="268" t="b">
        <f t="shared" ca="1" si="3"/>
        <v>0</v>
      </c>
      <c r="M20" s="184" t="e">
        <f ca="1">MATCH(TRUE,OFFSET(INDIRECT(L$3),SUM(M$4:M19),0),0)</f>
        <v>#N/A</v>
      </c>
      <c r="N20" s="251" t="e">
        <f ca="1">INDEX(INDIRECT(I$3),SUM(M$4:M20))</f>
        <v>#N/A</v>
      </c>
      <c r="O20" s="184" t="b">
        <f ca="1">IF(ISERROR(MATCH(N20,INDIRECT(ProductTable!$Y$4),0)),FALSE,TRUE)</f>
        <v>0</v>
      </c>
      <c r="P20" s="184" t="e">
        <f ca="1">MATCH(TRUE,OFFSET(INDIRECT(O$3),SUM(P$4:P19),0),0)</f>
        <v>#N/A</v>
      </c>
      <c r="Q20" s="184" t="str">
        <f ca="1">IF(ISERROR(P20),"",INDEX(INDIRECT(N$3),SUM($P$4:$P20)))</f>
        <v/>
      </c>
      <c r="S20" s="134" t="e">
        <f ca="1">MATCH(TRUE,OFFSET(INDIRECT(INDEX(INDIRECT(CT_STAtoANT!$A$5),MATCH(SelectionTables!$G$4,INDIRECT(CT_STAtoANT!$G$2),0),0)),0,SUM($S$4:$S19),1,ProductTable!$H$2-SUM($S$4:$S19)),0)</f>
        <v>#REF!</v>
      </c>
      <c r="T20" s="184" t="e">
        <f ca="1">INDEX(INDIRECT(CT_STAtoANT!$G$3),1,SUM($S$4:$S20))</f>
        <v>#REF!</v>
      </c>
      <c r="U20" s="184" t="b">
        <f ca="1">IF(ISERROR(MATCH(T20,INDIRECT(ProductTable!$J$4),0)),FALSE,TRUE)</f>
        <v>0</v>
      </c>
      <c r="V20" s="184" t="e">
        <f ca="1">MATCH(TRUE,OFFSET(INDIRECT($U$3),SUM($V$4:$V19),0,ProductTable!$H$2-SUM($V$4:$V19),1),0)</f>
        <v>#REF!</v>
      </c>
      <c r="W20" s="184" t="str">
        <f ca="1">IF(ISERROR($V20),"",INDEX(INDIRECT($T$3),SUM($V$4:$V20)))</f>
        <v/>
      </c>
      <c r="Y20" s="184" t="e">
        <f ca="1">MATCH(TRUE,OFFSET(INDIRECT(INDEX(INDIRECT(CT_APtoC1!$A$5),MATCH(SelectionTables!$S$4,INDIRECT(CT_APtoC1!$G$2),0),0)),0,SUM($Y$4:$Y19),1,ProductTable!$C$2-SUM($Y$4:$Y19)),0)</f>
        <v>#REF!</v>
      </c>
      <c r="Z20" s="251" t="e">
        <f ca="1">INDEX(INDIRECT(CT_APtoC1!$G$3),1,SUM($Y$4:$Y20))</f>
        <v>#REF!</v>
      </c>
      <c r="AA20" s="184" t="e">
        <f ca="1">MATCH(TRUE,OFFSET(INDIRECT(INDEX(INDIRECT(CT_C1toANT!$B$4),0,MATCH(SelectionTables!$U$4,INDIRECT(CT_C1toANT!$G$3),0))),SUM(AA$4:AA19),0,ProductTable!$M$2-SUM(AA$4:AA19)),0)</f>
        <v>#REF!</v>
      </c>
      <c r="AB20" s="251" t="str">
        <f ca="1">IF(ISERROR(AA20),"",INDEX(INDIRECT(CT_C1toANT!$G$2),SUM(AA$4:AA20)))</f>
        <v/>
      </c>
      <c r="AC20" s="184" t="b">
        <f t="shared" ca="1" si="1"/>
        <v>0</v>
      </c>
      <c r="AD20" s="184" t="e">
        <f ca="1">MATCH(TRUE,OFFSET(INDIRECT($AC$3),SUM($AD$4:$AD19),0),0)</f>
        <v>#N/A</v>
      </c>
      <c r="AE20" s="184" t="e">
        <f ca="1">INDEX(INDIRECT($Z$3),SUM($AD$4:$AD20))</f>
        <v>#N/A</v>
      </c>
      <c r="AF20" s="184" t="b">
        <f ca="1">IF(ISERROR(MATCH(AE20,INDIRECT(ProductTable!$O$4),0)),FALSE,TRUE)</f>
        <v>0</v>
      </c>
      <c r="AG20" s="184" t="e">
        <f ca="1">MATCH(TRUE,OFFSET(INDIRECT($AF$3),SUM($AG$4:$AG19),0),0)</f>
        <v>#N/A</v>
      </c>
      <c r="AH20" s="184" t="str">
        <f ca="1">IF(ISERROR(AG20),"",INDEX(INDIRECT($AE$3),SUM($AG$4:$AG20)))</f>
        <v/>
      </c>
      <c r="AJ20" s="184" t="e">
        <f ca="1">MATCH(TRUE,OFFSET(INDIRECT(INDEX(INDIRECT(CT_SAtoC1!$A$5),MATCH(SelectionTables!$V$4,INDIRECT(CT_SAtoC1!$G$2),0),0)),0,SUM($AJ$4:$AJ19),1,ProductTable!$C$2-SUM($AJ$4:$AJ19)),0)</f>
        <v>#REF!</v>
      </c>
      <c r="AK20" s="251" t="e">
        <f ca="1">INDEX(INDIRECT(CT_SAtoC1!$G$3),1,SUM($AJ$4:$AJ20))</f>
        <v>#REF!</v>
      </c>
      <c r="AL20" s="184" t="e">
        <f ca="1">MATCH(TRUE,OFFSET(INDIRECT(INDEX(INDIRECT(CT_C1toANT!$B$4),0,MATCH(SelectionTables!$U$4,INDIRECT(CT_C1toANT!$G$3),0))),SUM(AL$4:AL19),0,ProductTable!$M$2-SUM(AL$4:AL19)),0)</f>
        <v>#REF!</v>
      </c>
      <c r="AM20" s="251" t="str">
        <f ca="1">IF(ISERROR(AL20),"",INDEX(INDIRECT(CT_C1toANT!$G$2),SUM(AL$4:AL20)))</f>
        <v/>
      </c>
      <c r="AN20" s="184" t="b">
        <f t="shared" ca="1" si="0"/>
        <v>0</v>
      </c>
      <c r="AO20" s="184" t="e">
        <f ca="1">MATCH(TRUE,OFFSET(INDIRECT(AN$3),SUM(AO$4:AO19),0),0)</f>
        <v>#N/A</v>
      </c>
      <c r="AP20" s="184" t="e">
        <f ca="1">INDEX(INDIRECT(AK$3),SUM(AO$4:AO20))</f>
        <v>#N/A</v>
      </c>
      <c r="AQ20" s="184" t="b">
        <f ca="1">IF(ISERROR(MATCH(AP20,INDIRECT(ProductTable!$AI$4),0)),FALSE,TRUE)</f>
        <v>0</v>
      </c>
      <c r="AR20" s="184" t="e">
        <f ca="1">MATCH(TRUE,OFFSET(INDIRECT($AQ$3),SUM($AR$4:$AR19),0),0)</f>
        <v>#N/A</v>
      </c>
      <c r="AS20" s="184" t="str">
        <f ca="1">IF(ISERROR(AR20),"",INDEX(INDIRECT(AP$3),SUM(AR$4:AR20)))</f>
        <v/>
      </c>
      <c r="AU20" s="184">
        <f ca="1">IF(OR(EXACT(SelectionTables!$T$4,ProductTable!$L$7),EXACT(SelectionTables!$T$4,"")),"",ProductTable!T23)</f>
        <v>0</v>
      </c>
      <c r="AW20" s="540" t="e">
        <f ca="1">MATCH(TRUE,OFFSET(INDIRECT(INDEX(INDIRECT(CT_STAtoANT!$A$5),MATCH(SelectionTables!$G$4,INDIRECT(CT_STAtoANT!$G$2),0),0)),0,SUM($AW$4:$AW19),1,ProductTable!$H$2-SUM($AW$4:$AW19)),0)</f>
        <v>#REF!</v>
      </c>
      <c r="AX20" s="541" t="e">
        <f ca="1">INDEX(INDIRECT(CT_STAtoANT!$G$3),1,SUM($AW$4:$AW20))</f>
        <v>#REF!</v>
      </c>
      <c r="AY20" s="541" t="b">
        <f ca="1">IF(ISERROR(MATCH(AX20,INDIRECT(ProductTable!$J$4),0)),FALSE,TRUE)</f>
        <v>0</v>
      </c>
      <c r="AZ20" s="541" t="e">
        <f ca="1">MATCH(TRUE,OFFSET(INDIRECT($AY$3),SUM($AZ$4:$AZ19),0,ProductTable!$H$2-SUM($AZ$4:$AZ19),1),0)</f>
        <v>#REF!</v>
      </c>
      <c r="BA20" s="541" t="str">
        <f ca="1">IF(ISERROR($AZ20),"",INDEX(INDIRECT($AX$3),SUM($AZ$4:$AZ20)))</f>
        <v/>
      </c>
      <c r="BB20" s="541" t="e">
        <f ca="1">MATCH(TRUE,OFFSET(INDIRECT(INDEX(INDIRECT(CT_APtoANT!$A$5),MATCH(SelectionTables!$S$4,INDIRECT(CT_APtoANT!$G$2),0),0)),0,SUM($BB$4:$BB19),1,ProductTable!$H$2-SUM($BB$4:$BB19)),0)</f>
        <v>#REF!</v>
      </c>
      <c r="BC20" s="541" t="e">
        <f ca="1">INDEX(INDIRECT(CT_APtoANT!$G$3),1,SUM($BB$4:$BB20))</f>
        <v>#REF!</v>
      </c>
      <c r="BD20" s="541" t="b">
        <f t="shared" ca="1" si="2"/>
        <v>0</v>
      </c>
      <c r="BE20" s="541" t="e">
        <f ca="1">MATCH(TRUE,OFFSET(INDIRECT($BD$3),SUM($BE$4:$BE19),0,ProductTable!$H$2-SUM($BE$4:$BE19),1),0)</f>
        <v>#REF!</v>
      </c>
      <c r="BF20" s="541" t="str">
        <f ca="1">IF(ISERROR($BE20),"",INDEX(INDIRECT($BA$3),SUM($BE$4:$BE20)))</f>
        <v/>
      </c>
      <c r="BH20" s="541">
        <f ca="1">MATCH(TRUE,OFFSET(INDIRECT(INDEX(INDIRECT(CT_APtoC1!$A$5),MATCH(SelectionTables!$S$4,INDIRECT(CT_APtoC1!$G$2),0),0)),0,SUM($BH$4:$BH19),1,ProductTable!$AG$2-SUM($BH$4:$BH19)),0)</f>
        <v>1</v>
      </c>
      <c r="BI20" s="541" t="str">
        <f ca="1">INDEX(INDIRECT(CT_APtoC1!$G$3),1,SUM($BH$4:$BH20))</f>
        <v>Other cable</v>
      </c>
      <c r="BJ20" s="541" t="b">
        <f ca="1">IF(ISERROR(MATCH(BI20,INDIRECT(ProductTable!$AI$4),0)),FALSE,TRUE)</f>
        <v>1</v>
      </c>
      <c r="BK20" s="541" t="e">
        <f ca="1">MATCH(TRUE,OFFSET(INDIRECT($BJ$3),SUM($BK$4:$BK19),0,ProductTable!$AG$2-SUM($BK$4:$BK19),1),0)</f>
        <v>#N/A</v>
      </c>
      <c r="BL20" s="541" t="str">
        <f ca="1">IF(ISERROR($BK20),"",INDEX(INDIRECT($BI$3),SUM($BK$4:$BK20)))</f>
        <v/>
      </c>
    </row>
    <row r="21" spans="2:64" x14ac:dyDescent="0.25">
      <c r="B21" s="184" t="e">
        <f ca="1">MATCH(TRUE,OFFSET(INDIRECT(INDEX(INDIRECT(CT_APtoSTA!$B$4),0,MATCH(SelectionTables!$G$4,INDIRECT(CT_APtoSTA!$G$3),0))),SUM($B$4:$B20),0,ProductTable!$C$2-SUM($B$4:$B20)),0)</f>
        <v>#REF!</v>
      </c>
      <c r="C21" s="184" t="e">
        <f ca="1">INDEX(INDIRECT(CT_APtoSTA!$G$2),SUM($B$4:$B21))</f>
        <v>#REF!</v>
      </c>
      <c r="D21" s="184" t="b">
        <f ca="1">IF(ISERROR(MATCH(C21,INDIRECT(ProductTable!$E$4),0)),FALSE,TRUE)</f>
        <v>0</v>
      </c>
      <c r="E21" s="184" t="e">
        <f ca="1">MATCH(TRUE,OFFSET(INDIRECT($D$3),SUM($E$4:$E20),0,ProductTable!$C$2-SUM($E$4:$E20),1),0)</f>
        <v>#N/A</v>
      </c>
      <c r="F21" s="184" t="str">
        <f ca="1">IF(ISERROR($E21),"",INDEX(INDIRECT($C$3),SUM($E$4:$E21)))</f>
        <v/>
      </c>
      <c r="G21" s="92"/>
      <c r="H21" s="268" t="e">
        <f ca="1">MATCH(TRUE,OFFSET(INDIRECT(INDEX(INDIRECT(CT_STAtoWLAN!$A$5),MATCH(SelectionTables!$G$4,INDIRECT(CT_STAtoWLAN!$G$2),0),0)),0,SUM($H$4:$H20),1,ProductTable!$W$2-SUM($H$4:$H20)),0)</f>
        <v>#REF!</v>
      </c>
      <c r="I21" s="251" t="e">
        <f ca="1">INDEX(INDIRECT(CT_STAtoWLAN!$G$3),1,SUM($H$4:$H21))</f>
        <v>#REF!</v>
      </c>
      <c r="J21" s="268" t="e">
        <f ca="1">MATCH(TRUE,OFFSET(INDIRECT(INDEX(INDIRECT(CT_APtoWLAN!$A$5),MATCH(SelectionTables!$S$4,INDIRECT(CT_APtoWLAN!$G$2),0),0)),0,SUM($J$4:$J20),1,ProductTable!$W$2-SUM($J$4:$J20)),0)</f>
        <v>#REF!</v>
      </c>
      <c r="K21" s="251" t="e">
        <f ca="1">INDEX(INDIRECT(CT_APtoWLAN!$G$3),1,SUM($J$4:$J21))</f>
        <v>#REF!</v>
      </c>
      <c r="L21" s="268" t="b">
        <f t="shared" ca="1" si="3"/>
        <v>0</v>
      </c>
      <c r="M21" s="184" t="e">
        <f ca="1">MATCH(TRUE,OFFSET(INDIRECT(L$3),SUM(M$4:M20),0),0)</f>
        <v>#N/A</v>
      </c>
      <c r="N21" s="251" t="e">
        <f ca="1">INDEX(INDIRECT(I$3),SUM(M$4:M21))</f>
        <v>#N/A</v>
      </c>
      <c r="O21" s="184" t="b">
        <f ca="1">IF(ISERROR(MATCH(N21,INDIRECT(ProductTable!$Y$4),0)),FALSE,TRUE)</f>
        <v>0</v>
      </c>
      <c r="P21" s="184" t="e">
        <f ca="1">MATCH(TRUE,OFFSET(INDIRECT(O$3),SUM(P$4:P20),0),0)</f>
        <v>#N/A</v>
      </c>
      <c r="Q21" s="184" t="str">
        <f ca="1">IF(ISERROR(P21),"",INDEX(INDIRECT(N$3),SUM($P$4:$P21)))</f>
        <v/>
      </c>
      <c r="S21" s="134" t="e">
        <f ca="1">MATCH(TRUE,OFFSET(INDIRECT(INDEX(INDIRECT(CT_STAtoANT!$A$5),MATCH(SelectionTables!$G$4,INDIRECT(CT_STAtoANT!$G$2),0),0)),0,SUM($S$4:$S20),1,ProductTable!$H$2-SUM($S$4:$S20)),0)</f>
        <v>#REF!</v>
      </c>
      <c r="T21" s="184" t="e">
        <f ca="1">INDEX(INDIRECT(CT_STAtoANT!$G$3),1,SUM($S$4:$S21))</f>
        <v>#REF!</v>
      </c>
      <c r="U21" s="184" t="b">
        <f ca="1">IF(ISERROR(MATCH(T21,INDIRECT(ProductTable!$J$4),0)),FALSE,TRUE)</f>
        <v>0</v>
      </c>
      <c r="V21" s="184" t="e">
        <f ca="1">MATCH(TRUE,OFFSET(INDIRECT($U$3),SUM($V$4:$V20),0,ProductTable!$H$2-SUM($V$4:$V20),1),0)</f>
        <v>#REF!</v>
      </c>
      <c r="W21" s="184" t="str">
        <f ca="1">IF(ISERROR($V21),"",INDEX(INDIRECT($T$3),SUM($V$4:$V21)))</f>
        <v/>
      </c>
      <c r="Y21" s="184" t="e">
        <f ca="1">MATCH(TRUE,OFFSET(INDIRECT(INDEX(INDIRECT(CT_APtoC1!$A$5),MATCH(SelectionTables!$S$4,INDIRECT(CT_APtoC1!$G$2),0),0)),0,SUM($Y$4:$Y20),1,ProductTable!$C$2-SUM($Y$4:$Y20)),0)</f>
        <v>#REF!</v>
      </c>
      <c r="Z21" s="251" t="e">
        <f ca="1">INDEX(INDIRECT(CT_APtoC1!$G$3),1,SUM($Y$4:$Y21))</f>
        <v>#REF!</v>
      </c>
      <c r="AA21" s="184" t="e">
        <f ca="1">MATCH(TRUE,OFFSET(INDIRECT(INDEX(INDIRECT(CT_C1toANT!$B$4),0,MATCH(SelectionTables!$U$4,INDIRECT(CT_C1toANT!$G$3),0))),SUM(AA$4:AA20),0,ProductTable!$M$2-SUM(AA$4:AA20)),0)</f>
        <v>#REF!</v>
      </c>
      <c r="AB21" s="251" t="str">
        <f ca="1">IF(ISERROR(AA21),"",INDEX(INDIRECT(CT_C1toANT!$G$2),SUM(AA$4:AA21)))</f>
        <v/>
      </c>
      <c r="AC21" s="184" t="b">
        <f t="shared" ca="1" si="1"/>
        <v>0</v>
      </c>
      <c r="AD21" s="184" t="e">
        <f ca="1">MATCH(TRUE,OFFSET(INDIRECT($AC$3),SUM($AD$4:$AD20),0),0)</f>
        <v>#N/A</v>
      </c>
      <c r="AE21" s="184" t="e">
        <f ca="1">INDEX(INDIRECT($Z$3),SUM($AD$4:$AD21))</f>
        <v>#N/A</v>
      </c>
      <c r="AF21" s="184" t="b">
        <f ca="1">IF(ISERROR(MATCH(AE21,INDIRECT(ProductTable!$O$4),0)),FALSE,TRUE)</f>
        <v>0</v>
      </c>
      <c r="AG21" s="184" t="e">
        <f ca="1">MATCH(TRUE,OFFSET(INDIRECT($AF$3),SUM($AG$4:$AG20),0),0)</f>
        <v>#N/A</v>
      </c>
      <c r="AH21" s="184" t="str">
        <f ca="1">IF(ISERROR(AG21),"",INDEX(INDIRECT($AE$3),SUM($AG$4:$AG21)))</f>
        <v/>
      </c>
      <c r="AJ21" s="184" t="e">
        <f ca="1">MATCH(TRUE,OFFSET(INDIRECT(INDEX(INDIRECT(CT_SAtoC1!$A$5),MATCH(SelectionTables!$V$4,INDIRECT(CT_SAtoC1!$G$2),0),0)),0,SUM($AJ$4:$AJ20),1,ProductTable!$C$2-SUM($AJ$4:$AJ20)),0)</f>
        <v>#REF!</v>
      </c>
      <c r="AK21" s="251" t="e">
        <f ca="1">INDEX(INDIRECT(CT_SAtoC1!$G$3),1,SUM($AJ$4:$AJ21))</f>
        <v>#REF!</v>
      </c>
      <c r="AL21" s="184" t="e">
        <f ca="1">MATCH(TRUE,OFFSET(INDIRECT(INDEX(INDIRECT(CT_C1toANT!$B$4),0,MATCH(SelectionTables!$U$4,INDIRECT(CT_C1toANT!$G$3),0))),SUM(AL$4:AL20),0,ProductTable!$M$2-SUM(AL$4:AL20)),0)</f>
        <v>#REF!</v>
      </c>
      <c r="AM21" s="251" t="str">
        <f ca="1">IF(ISERROR(AL21),"",INDEX(INDIRECT(CT_C1toANT!$G$2),SUM(AL$4:AL21)))</f>
        <v/>
      </c>
      <c r="AN21" s="184" t="b">
        <f t="shared" ca="1" si="0"/>
        <v>0</v>
      </c>
      <c r="AO21" s="184" t="e">
        <f ca="1">MATCH(TRUE,OFFSET(INDIRECT(AN$3),SUM(AO$4:AO20),0),0)</f>
        <v>#N/A</v>
      </c>
      <c r="AP21" s="184" t="e">
        <f ca="1">INDEX(INDIRECT(AK$3),SUM(AO$4:AO21))</f>
        <v>#N/A</v>
      </c>
      <c r="AQ21" s="184" t="b">
        <f ca="1">IF(ISERROR(MATCH(AP21,INDIRECT(ProductTable!$AI$4),0)),FALSE,TRUE)</f>
        <v>0</v>
      </c>
      <c r="AR21" s="184" t="e">
        <f ca="1">MATCH(TRUE,OFFSET(INDIRECT($AQ$3),SUM($AR$4:$AR20),0),0)</f>
        <v>#N/A</v>
      </c>
      <c r="AS21" s="184" t="str">
        <f ca="1">IF(ISERROR(AR21),"",INDEX(INDIRECT(AP$3),SUM(AR$4:AR21)))</f>
        <v/>
      </c>
      <c r="AU21" s="184">
        <f ca="1">IF(OR(EXACT(SelectionTables!$T$4,ProductTable!$L$7),EXACT(SelectionTables!$T$4,"")),"",ProductTable!T24)</f>
        <v>0</v>
      </c>
      <c r="AW21" s="540" t="e">
        <f ca="1">MATCH(TRUE,OFFSET(INDIRECT(INDEX(INDIRECT(CT_STAtoANT!$A$5),MATCH(SelectionTables!$G$4,INDIRECT(CT_STAtoANT!$G$2),0),0)),0,SUM($AW$4:$AW20),1,ProductTable!$H$2-SUM($AW$4:$AW20)),0)</f>
        <v>#REF!</v>
      </c>
      <c r="AX21" s="541" t="e">
        <f ca="1">INDEX(INDIRECT(CT_STAtoANT!$G$3),1,SUM($AW$4:$AW21))</f>
        <v>#REF!</v>
      </c>
      <c r="AY21" s="541" t="b">
        <f ca="1">IF(ISERROR(MATCH(AX21,INDIRECT(ProductTable!$J$4),0)),FALSE,TRUE)</f>
        <v>0</v>
      </c>
      <c r="AZ21" s="541" t="e">
        <f ca="1">MATCH(TRUE,OFFSET(INDIRECT($AY$3),SUM($AZ$4:$AZ20),0,ProductTable!$H$2-SUM($AZ$4:$AZ20),1),0)</f>
        <v>#REF!</v>
      </c>
      <c r="BA21" s="541" t="str">
        <f ca="1">IF(ISERROR($AZ21),"",INDEX(INDIRECT($AX$3),SUM($AZ$4:$AZ21)))</f>
        <v/>
      </c>
      <c r="BB21" s="541" t="e">
        <f ca="1">MATCH(TRUE,OFFSET(INDIRECT(INDEX(INDIRECT(CT_APtoANT!$A$5),MATCH(SelectionTables!$S$4,INDIRECT(CT_APtoANT!$G$2),0),0)),0,SUM($BB$4:$BB20),1,ProductTable!$H$2-SUM($BB$4:$BB20)),0)</f>
        <v>#REF!</v>
      </c>
      <c r="BC21" s="541" t="e">
        <f ca="1">INDEX(INDIRECT(CT_APtoANT!$G$3),1,SUM($BB$4:$BB21))</f>
        <v>#REF!</v>
      </c>
      <c r="BD21" s="541" t="b">
        <f t="shared" ca="1" si="2"/>
        <v>0</v>
      </c>
      <c r="BE21" s="541" t="e">
        <f ca="1">MATCH(TRUE,OFFSET(INDIRECT($BD$3),SUM($BE$4:$BE20),0,ProductTable!$H$2-SUM($BE$4:$BE20),1),0)</f>
        <v>#REF!</v>
      </c>
      <c r="BF21" s="541" t="str">
        <f ca="1">IF(ISERROR($BE21),"",INDEX(INDIRECT($BA$3),SUM($BE$4:$BE21)))</f>
        <v/>
      </c>
      <c r="BH21" s="541">
        <f ca="1">MATCH(TRUE,OFFSET(INDIRECT(INDEX(INDIRECT(CT_APtoC1!$A$5),MATCH(SelectionTables!$S$4,INDIRECT(CT_APtoC1!$G$2),0),0)),0,SUM($BH$4:$BH20),1,ProductTable!$AG$2-SUM($BH$4:$BH20)),0)</f>
        <v>1</v>
      </c>
      <c r="BI21" s="541" t="str">
        <f ca="1">INDEX(INDIRECT(CT_APtoC1!$G$3),1,SUM($BH$4:$BH21))</f>
        <v>Default cable</v>
      </c>
      <c r="BJ21" s="541" t="b">
        <f ca="1">IF(ISERROR(MATCH(BI21,INDIRECT(ProductTable!$AI$4),0)),FALSE,TRUE)</f>
        <v>0</v>
      </c>
      <c r="BK21" s="541" t="e">
        <f ca="1">MATCH(TRUE,OFFSET(INDIRECT($BJ$3),SUM($BK$4:$BK20),0,ProductTable!$AG$2-SUM($BK$4:$BK20),1),0)</f>
        <v>#N/A</v>
      </c>
      <c r="BL21" s="541" t="str">
        <f ca="1">IF(ISERROR($BK21),"",INDEX(INDIRECT($BI$3),SUM($BK$4:$BK21)))</f>
        <v/>
      </c>
    </row>
    <row r="22" spans="2:64" x14ac:dyDescent="0.25">
      <c r="B22" s="184" t="e">
        <f ca="1">MATCH(TRUE,OFFSET(INDIRECT(INDEX(INDIRECT(CT_APtoSTA!$B$4),0,MATCH(SelectionTables!$G$4,INDIRECT(CT_APtoSTA!$G$3),0))),SUM($B$4:$B21),0,ProductTable!$C$2-SUM($B$4:$B21)),0)</f>
        <v>#REF!</v>
      </c>
      <c r="C22" s="184" t="e">
        <f ca="1">INDEX(INDIRECT(CT_APtoSTA!$G$2),SUM($B$4:$B22))</f>
        <v>#REF!</v>
      </c>
      <c r="D22" s="184" t="b">
        <f ca="1">IF(ISERROR(MATCH(C22,INDIRECT(ProductTable!$E$4),0)),FALSE,TRUE)</f>
        <v>0</v>
      </c>
      <c r="E22" s="184" t="e">
        <f ca="1">MATCH(TRUE,OFFSET(INDIRECT($D$3),SUM($E$4:$E21),0,ProductTable!$C$2-SUM($E$4:$E21),1),0)</f>
        <v>#N/A</v>
      </c>
      <c r="F22" s="184" t="str">
        <f ca="1">IF(ISERROR($E22),"",INDEX(INDIRECT($C$3),SUM($E$4:$E22)))</f>
        <v/>
      </c>
      <c r="G22" s="92"/>
      <c r="H22" s="268" t="e">
        <f ca="1">MATCH(TRUE,OFFSET(INDIRECT(INDEX(INDIRECT(CT_STAtoWLAN!$A$5),MATCH(SelectionTables!$G$4,INDIRECT(CT_STAtoWLAN!$G$2),0),0)),0,SUM($H$4:$H21),1,ProductTable!$W$2-SUM($H$4:$H21)),0)</f>
        <v>#REF!</v>
      </c>
      <c r="I22" s="251" t="e">
        <f ca="1">INDEX(INDIRECT(CT_STAtoWLAN!$G$3),1,SUM($H$4:$H22))</f>
        <v>#REF!</v>
      </c>
      <c r="J22" s="268" t="e">
        <f ca="1">MATCH(TRUE,OFFSET(INDIRECT(INDEX(INDIRECT(CT_APtoWLAN!$A$5),MATCH(SelectionTables!$S$4,INDIRECT(CT_APtoWLAN!$G$2),0),0)),0,SUM($J$4:$J21),1,ProductTable!$W$2-SUM($J$4:$J21)),0)</f>
        <v>#REF!</v>
      </c>
      <c r="K22" s="251" t="e">
        <f ca="1">INDEX(INDIRECT(CT_APtoWLAN!$G$3),1,SUM($J$4:$J22))</f>
        <v>#REF!</v>
      </c>
      <c r="L22" s="268" t="b">
        <f t="shared" ca="1" si="3"/>
        <v>0</v>
      </c>
      <c r="M22" s="184" t="e">
        <f ca="1">MATCH(TRUE,OFFSET(INDIRECT(L$3),SUM(M$4:M21),0),0)</f>
        <v>#N/A</v>
      </c>
      <c r="N22" s="251" t="e">
        <f ca="1">INDEX(INDIRECT(I$3),SUM(M$4:M22))</f>
        <v>#N/A</v>
      </c>
      <c r="O22" s="184" t="b">
        <f ca="1">IF(ISERROR(MATCH(N22,INDIRECT(ProductTable!$Y$4),0)),FALSE,TRUE)</f>
        <v>0</v>
      </c>
      <c r="P22" s="184" t="e">
        <f ca="1">MATCH(TRUE,OFFSET(INDIRECT(O$3),SUM(P$4:P21),0),0)</f>
        <v>#N/A</v>
      </c>
      <c r="Q22" s="184" t="str">
        <f ca="1">IF(ISERROR(P22),"",INDEX(INDIRECT(N$3),SUM($P$4:$P22)))</f>
        <v/>
      </c>
      <c r="S22" s="134" t="e">
        <f ca="1">MATCH(TRUE,OFFSET(INDIRECT(INDEX(INDIRECT(CT_STAtoANT!$A$5),MATCH(SelectionTables!$G$4,INDIRECT(CT_STAtoANT!$G$2),0),0)),0,SUM($S$4:$S21),1,ProductTable!$H$2-SUM($S$4:$S21)),0)</f>
        <v>#REF!</v>
      </c>
      <c r="T22" s="184" t="e">
        <f ca="1">INDEX(INDIRECT(CT_STAtoANT!$G$3),1,SUM($S$4:$S22))</f>
        <v>#REF!</v>
      </c>
      <c r="U22" s="184" t="b">
        <f ca="1">IF(ISERROR(MATCH(T22,INDIRECT(ProductTable!$J$4),0)),FALSE,TRUE)</f>
        <v>0</v>
      </c>
      <c r="V22" s="184" t="e">
        <f ca="1">MATCH(TRUE,OFFSET(INDIRECT($U$3),SUM($V$4:$V21),0,ProductTable!$H$2-SUM($V$4:$V21),1),0)</f>
        <v>#REF!</v>
      </c>
      <c r="W22" s="184" t="str">
        <f ca="1">IF(ISERROR($V22),"",INDEX(INDIRECT($T$3),SUM($V$4:$V22)))</f>
        <v/>
      </c>
      <c r="Y22" s="184" t="e">
        <f ca="1">MATCH(TRUE,OFFSET(INDIRECT(INDEX(INDIRECT(CT_APtoC1!$A$5),MATCH(SelectionTables!$S$4,INDIRECT(CT_APtoC1!$G$2),0),0)),0,SUM($Y$4:$Y21),1,ProductTable!$C$2-SUM($Y$4:$Y21)),0)</f>
        <v>#REF!</v>
      </c>
      <c r="Z22" s="251" t="e">
        <f ca="1">INDEX(INDIRECT(CT_APtoC1!$G$3),1,SUM($Y$4:$Y22))</f>
        <v>#REF!</v>
      </c>
      <c r="AA22" s="184" t="e">
        <f ca="1">MATCH(TRUE,OFFSET(INDIRECT(INDEX(INDIRECT(CT_C1toANT!$B$4),0,MATCH(SelectionTables!$U$4,INDIRECT(CT_C1toANT!$G$3),0))),SUM(AA$4:AA21),0,ProductTable!$M$2-SUM(AA$4:AA21)),0)</f>
        <v>#REF!</v>
      </c>
      <c r="AB22" s="251" t="str">
        <f ca="1">IF(ISERROR(AA22),"",INDEX(INDIRECT(CT_C1toANT!$G$2),SUM(AA$4:AA22)))</f>
        <v/>
      </c>
      <c r="AC22" s="184" t="b">
        <f t="shared" ca="1" si="1"/>
        <v>0</v>
      </c>
      <c r="AD22" s="184" t="e">
        <f ca="1">MATCH(TRUE,OFFSET(INDIRECT($AC$3),SUM($AD$4:$AD21),0),0)</f>
        <v>#N/A</v>
      </c>
      <c r="AE22" s="184" t="e">
        <f ca="1">INDEX(INDIRECT($Z$3),SUM($AD$4:$AD22))</f>
        <v>#N/A</v>
      </c>
      <c r="AF22" s="184" t="b">
        <f ca="1">IF(ISERROR(MATCH(AE22,INDIRECT(ProductTable!$O$4),0)),FALSE,TRUE)</f>
        <v>0</v>
      </c>
      <c r="AG22" s="184" t="e">
        <f ca="1">MATCH(TRUE,OFFSET(INDIRECT($AF$3),SUM($AG$4:$AG21),0),0)</f>
        <v>#N/A</v>
      </c>
      <c r="AH22" s="184" t="str">
        <f ca="1">IF(ISERROR(AG22),"",INDEX(INDIRECT($AE$3),SUM($AG$4:$AG22)))</f>
        <v/>
      </c>
      <c r="AJ22" s="184" t="e">
        <f ca="1">MATCH(TRUE,OFFSET(INDIRECT(INDEX(INDIRECT(CT_SAtoC1!$A$5),MATCH(SelectionTables!$V$4,INDIRECT(CT_SAtoC1!$G$2),0),0)),0,SUM($AJ$4:$AJ21),1,ProductTable!$C$2-SUM($AJ$4:$AJ21)),0)</f>
        <v>#REF!</v>
      </c>
      <c r="AK22" s="251" t="e">
        <f ca="1">INDEX(INDIRECT(CT_SAtoC1!$G$3),1,SUM($AJ$4:$AJ22))</f>
        <v>#REF!</v>
      </c>
      <c r="AL22" s="184" t="e">
        <f ca="1">MATCH(TRUE,OFFSET(INDIRECT(INDEX(INDIRECT(CT_C1toANT!$B$4),0,MATCH(SelectionTables!$U$4,INDIRECT(CT_C1toANT!$G$3),0))),SUM(AL$4:AL21),0,ProductTable!$M$2-SUM(AL$4:AL21)),0)</f>
        <v>#REF!</v>
      </c>
      <c r="AM22" s="251" t="str">
        <f ca="1">IF(ISERROR(AL22),"",INDEX(INDIRECT(CT_C1toANT!$G$2),SUM(AL$4:AL22)))</f>
        <v/>
      </c>
      <c r="AN22" s="184" t="b">
        <f t="shared" ca="1" si="0"/>
        <v>0</v>
      </c>
      <c r="AO22" s="184" t="e">
        <f ca="1">MATCH(TRUE,OFFSET(INDIRECT(AN$3),SUM(AO$4:AO21),0),0)</f>
        <v>#N/A</v>
      </c>
      <c r="AP22" s="184" t="e">
        <f ca="1">INDEX(INDIRECT(AK$3),SUM(AO$4:AO22))</f>
        <v>#N/A</v>
      </c>
      <c r="AQ22" s="184" t="b">
        <f ca="1">IF(ISERROR(MATCH(AP22,INDIRECT(ProductTable!$AI$4),0)),FALSE,TRUE)</f>
        <v>0</v>
      </c>
      <c r="AR22" s="184" t="e">
        <f ca="1">MATCH(TRUE,OFFSET(INDIRECT($AQ$3),SUM($AR$4:$AR21),0),0)</f>
        <v>#N/A</v>
      </c>
      <c r="AS22" s="184" t="str">
        <f ca="1">IF(ISERROR(AR22),"",INDEX(INDIRECT(AP$3),SUM(AR$4:AR22)))</f>
        <v/>
      </c>
      <c r="AU22" s="184">
        <f ca="1">IF(OR(EXACT(SelectionTables!$T$4,ProductTable!$L$7),EXACT(SelectionTables!$T$4,"")),"",ProductTable!T25)</f>
        <v>0</v>
      </c>
      <c r="AW22" s="540" t="e">
        <f ca="1">MATCH(TRUE,OFFSET(INDIRECT(INDEX(INDIRECT(CT_STAtoANT!$A$5),MATCH(SelectionTables!$G$4,INDIRECT(CT_STAtoANT!$G$2),0),0)),0,SUM($AW$4:$AW21),1,ProductTable!$H$2-SUM($AW$4:$AW21)),0)</f>
        <v>#REF!</v>
      </c>
      <c r="AX22" s="541" t="e">
        <f ca="1">INDEX(INDIRECT(CT_STAtoANT!$G$3),1,SUM($AW$4:$AW22))</f>
        <v>#REF!</v>
      </c>
      <c r="AY22" s="541" t="b">
        <f ca="1">IF(ISERROR(MATCH(AX22,INDIRECT(ProductTable!$J$4),0)),FALSE,TRUE)</f>
        <v>0</v>
      </c>
      <c r="AZ22" s="541" t="e">
        <f ca="1">MATCH(TRUE,OFFSET(INDIRECT($AY$3),SUM($AZ$4:$AZ21),0,ProductTable!$H$2-SUM($AZ$4:$AZ21),1),0)</f>
        <v>#REF!</v>
      </c>
      <c r="BA22" s="541" t="str">
        <f ca="1">IF(ISERROR($AZ22),"",INDEX(INDIRECT($AX$3),SUM($AZ$4:$AZ22)))</f>
        <v/>
      </c>
      <c r="BB22" s="541" t="e">
        <f ca="1">MATCH(TRUE,OFFSET(INDIRECT(INDEX(INDIRECT(CT_APtoANT!$A$5),MATCH(SelectionTables!$S$4,INDIRECT(CT_APtoANT!$G$2),0),0)),0,SUM($BB$4:$BB21),1,ProductTable!$H$2-SUM($BB$4:$BB21)),0)</f>
        <v>#REF!</v>
      </c>
      <c r="BC22" s="541" t="e">
        <f ca="1">INDEX(INDIRECT(CT_APtoANT!$G$3),1,SUM($BB$4:$BB22))</f>
        <v>#REF!</v>
      </c>
      <c r="BD22" s="541" t="b">
        <f t="shared" ca="1" si="2"/>
        <v>0</v>
      </c>
      <c r="BE22" s="541" t="e">
        <f ca="1">MATCH(TRUE,OFFSET(INDIRECT($BD$3),SUM($BE$4:$BE21),0,ProductTable!$H$2-SUM($BE$4:$BE21),1),0)</f>
        <v>#REF!</v>
      </c>
      <c r="BF22" s="541" t="str">
        <f ca="1">IF(ISERROR($BE22),"",INDEX(INDIRECT($BA$3),SUM($BE$4:$BE22)))</f>
        <v/>
      </c>
      <c r="BH22" s="541" t="e">
        <f ca="1">MATCH(TRUE,OFFSET(INDIRECT(INDEX(INDIRECT(CT_APtoC1!$A$5),MATCH(SelectionTables!$S$4,INDIRECT(CT_APtoC1!$G$2),0),0)),0,SUM($BH$4:$BH21),1,ProductTable!$AG$2-SUM($BH$4:$BH21)),0)</f>
        <v>#REF!</v>
      </c>
      <c r="BI22" s="541" t="e">
        <f ca="1">INDEX(INDIRECT(CT_APtoC1!$G$3),1,SUM($BH$4:$BH22))</f>
        <v>#REF!</v>
      </c>
      <c r="BJ22" s="541" t="b">
        <f ca="1">IF(ISERROR(MATCH(BI22,INDIRECT(ProductTable!$AI$4),0)),FALSE,TRUE)</f>
        <v>0</v>
      </c>
      <c r="BK22" s="541" t="e">
        <f ca="1">MATCH(TRUE,OFFSET(INDIRECT($BJ$3),SUM($BK$4:$BK21),0,ProductTable!$AG$2-SUM($BK$4:$BK21),1),0)</f>
        <v>#N/A</v>
      </c>
      <c r="BL22" s="541" t="str">
        <f ca="1">IF(ISERROR($BK22),"",INDEX(INDIRECT($BI$3),SUM($BK$4:$BK22)))</f>
        <v/>
      </c>
    </row>
    <row r="23" spans="2:64" x14ac:dyDescent="0.25">
      <c r="B23" s="184" t="e">
        <f ca="1">MATCH(TRUE,OFFSET(INDIRECT(INDEX(INDIRECT(CT_APtoSTA!$B$4),0,MATCH(SelectionTables!$G$4,INDIRECT(CT_APtoSTA!$G$3),0))),SUM($B$4:$B22),0,ProductTable!$C$2-SUM($B$4:$B22)),0)</f>
        <v>#REF!</v>
      </c>
      <c r="C23" s="184" t="e">
        <f ca="1">INDEX(INDIRECT(CT_APtoSTA!$G$2),SUM($B$4:$B23))</f>
        <v>#REF!</v>
      </c>
      <c r="D23" s="184" t="b">
        <f ca="1">IF(ISERROR(MATCH(C23,INDIRECT(ProductTable!$E$4),0)),FALSE,TRUE)</f>
        <v>0</v>
      </c>
      <c r="E23" s="184" t="e">
        <f ca="1">MATCH(TRUE,OFFSET(INDIRECT($D$3),SUM($E$4:$E22),0,ProductTable!$C$2-SUM($E$4:$E22),1),0)</f>
        <v>#N/A</v>
      </c>
      <c r="F23" s="184" t="str">
        <f ca="1">IF(ISERROR($E23),"",INDEX(INDIRECT($C$3),SUM($E$4:$E23)))</f>
        <v/>
      </c>
      <c r="G23" s="92"/>
      <c r="H23" s="268" t="e">
        <f ca="1">MATCH(TRUE,OFFSET(INDIRECT(INDEX(INDIRECT(CT_STAtoWLAN!$A$5),MATCH(SelectionTables!$G$4,INDIRECT(CT_STAtoWLAN!$G$2),0),0)),0,SUM($H$4:$H22),1,ProductTable!$W$2-SUM($H$4:$H22)),0)</f>
        <v>#REF!</v>
      </c>
      <c r="I23" s="251" t="e">
        <f ca="1">INDEX(INDIRECT(CT_STAtoWLAN!$G$3),1,SUM($H$4:$H23))</f>
        <v>#REF!</v>
      </c>
      <c r="J23" s="268" t="e">
        <f ca="1">MATCH(TRUE,OFFSET(INDIRECT(INDEX(INDIRECT(CT_APtoWLAN!$A$5),MATCH(SelectionTables!$S$4,INDIRECT(CT_APtoWLAN!$G$2),0),0)),0,SUM($J$4:$J22),1,ProductTable!$W$2-SUM($J$4:$J22)),0)</f>
        <v>#REF!</v>
      </c>
      <c r="K23" s="251" t="e">
        <f ca="1">INDEX(INDIRECT(CT_APtoWLAN!$G$3),1,SUM($J$4:$J23))</f>
        <v>#REF!</v>
      </c>
      <c r="L23" s="268" t="b">
        <f t="shared" ca="1" si="3"/>
        <v>0</v>
      </c>
      <c r="M23" s="184" t="e">
        <f ca="1">MATCH(TRUE,OFFSET(INDIRECT(L$3),SUM(M$4:M22),0),0)</f>
        <v>#N/A</v>
      </c>
      <c r="N23" s="251" t="e">
        <f ca="1">INDEX(INDIRECT(I$3),SUM(M$4:M23))</f>
        <v>#N/A</v>
      </c>
      <c r="O23" s="184" t="b">
        <f ca="1">IF(ISERROR(MATCH(N23,INDIRECT(ProductTable!$Y$4),0)),FALSE,TRUE)</f>
        <v>0</v>
      </c>
      <c r="P23" s="184" t="e">
        <f ca="1">MATCH(TRUE,OFFSET(INDIRECT(O$3),SUM(P$4:P22),0),0)</f>
        <v>#N/A</v>
      </c>
      <c r="Q23" s="184" t="str">
        <f ca="1">IF(ISERROR(P23),"",INDEX(INDIRECT(N$3),SUM($P$4:$P23)))</f>
        <v/>
      </c>
      <c r="S23" s="134" t="e">
        <f ca="1">MATCH(TRUE,OFFSET(INDIRECT(INDEX(INDIRECT(CT_STAtoANT!$A$5),MATCH(SelectionTables!$G$4,INDIRECT(CT_STAtoANT!$G$2),0),0)),0,SUM($S$4:$S22),1,ProductTable!$H$2-SUM($S$4:$S22)),0)</f>
        <v>#REF!</v>
      </c>
      <c r="T23" s="184" t="e">
        <f ca="1">INDEX(INDIRECT(CT_STAtoANT!$G$3),1,SUM($S$4:$S23))</f>
        <v>#REF!</v>
      </c>
      <c r="U23" s="184" t="b">
        <f ca="1">IF(ISERROR(MATCH(T23,INDIRECT(ProductTable!$J$4),0)),FALSE,TRUE)</f>
        <v>0</v>
      </c>
      <c r="V23" s="184" t="e">
        <f ca="1">MATCH(TRUE,OFFSET(INDIRECT($U$3),SUM($V$4:$V22),0,ProductTable!$H$2-SUM($V$4:$V22),1),0)</f>
        <v>#REF!</v>
      </c>
      <c r="W23" s="184" t="str">
        <f ca="1">IF(ISERROR($V23),"",INDEX(INDIRECT($T$3),SUM($V$4:$V23)))</f>
        <v/>
      </c>
      <c r="Y23" s="184" t="e">
        <f ca="1">MATCH(TRUE,OFFSET(INDIRECT(INDEX(INDIRECT(CT_APtoC1!$A$5),MATCH(SelectionTables!$S$4,INDIRECT(CT_APtoC1!$G$2),0),0)),0,SUM($Y$4:$Y22),1,ProductTable!$C$2-SUM($Y$4:$Y22)),0)</f>
        <v>#REF!</v>
      </c>
      <c r="Z23" s="251" t="e">
        <f ca="1">INDEX(INDIRECT(CT_APtoC1!$G$3),1,SUM($Y$4:$Y23))</f>
        <v>#REF!</v>
      </c>
      <c r="AA23" s="184" t="e">
        <f ca="1">MATCH(TRUE,OFFSET(INDIRECT(INDEX(INDIRECT(CT_C1toANT!$B$4),0,MATCH(SelectionTables!$U$4,INDIRECT(CT_C1toANT!$G$3),0))),SUM(AA$4:AA22),0,ProductTable!$M$2-SUM(AA$4:AA22)),0)</f>
        <v>#REF!</v>
      </c>
      <c r="AB23" s="251" t="str">
        <f ca="1">IF(ISERROR(AA23),"",INDEX(INDIRECT(CT_C1toANT!$G$2),SUM(AA$4:AA23)))</f>
        <v/>
      </c>
      <c r="AC23" s="184" t="b">
        <f t="shared" ca="1" si="1"/>
        <v>0</v>
      </c>
      <c r="AD23" s="184" t="e">
        <f ca="1">MATCH(TRUE,OFFSET(INDIRECT($AC$3),SUM($AD$4:$AD22),0),0)</f>
        <v>#N/A</v>
      </c>
      <c r="AE23" s="184" t="e">
        <f ca="1">INDEX(INDIRECT($Z$3),SUM($AD$4:$AD23))</f>
        <v>#N/A</v>
      </c>
      <c r="AF23" s="184" t="b">
        <f ca="1">IF(ISERROR(MATCH(AE23,INDIRECT(ProductTable!$O$4),0)),FALSE,TRUE)</f>
        <v>0</v>
      </c>
      <c r="AG23" s="184" t="e">
        <f ca="1">MATCH(TRUE,OFFSET(INDIRECT($AF$3),SUM($AG$4:$AG22),0),0)</f>
        <v>#N/A</v>
      </c>
      <c r="AH23" s="184" t="str">
        <f ca="1">IF(ISERROR(AG23),"",INDEX(INDIRECT($AE$3),SUM($AG$4:$AG23)))</f>
        <v/>
      </c>
      <c r="AJ23" s="184" t="e">
        <f ca="1">MATCH(TRUE,OFFSET(INDIRECT(INDEX(INDIRECT(CT_SAtoC1!$A$5),MATCH(SelectionTables!$V$4,INDIRECT(CT_SAtoC1!$G$2),0),0)),0,SUM($AJ$4:$AJ22),1,ProductTable!$C$2-SUM($AJ$4:$AJ22)),0)</f>
        <v>#REF!</v>
      </c>
      <c r="AK23" s="251" t="e">
        <f ca="1">INDEX(INDIRECT(CT_SAtoC1!$G$3),1,SUM($AJ$4:$AJ23))</f>
        <v>#REF!</v>
      </c>
      <c r="AL23" s="184" t="e">
        <f ca="1">MATCH(TRUE,OFFSET(INDIRECT(INDEX(INDIRECT(CT_C1toANT!$B$4),0,MATCH(SelectionTables!$U$4,INDIRECT(CT_C1toANT!$G$3),0))),SUM(AL$4:AL22),0,ProductTable!$M$2-SUM(AL$4:AL22)),0)</f>
        <v>#REF!</v>
      </c>
      <c r="AM23" s="251" t="str">
        <f ca="1">IF(ISERROR(AL23),"",INDEX(INDIRECT(CT_C1toANT!$G$2),SUM(AL$4:AL23)))</f>
        <v/>
      </c>
      <c r="AN23" s="184" t="b">
        <f t="shared" ca="1" si="0"/>
        <v>0</v>
      </c>
      <c r="AO23" s="184" t="e">
        <f ca="1">MATCH(TRUE,OFFSET(INDIRECT(AN$3),SUM(AO$4:AO22),0),0)</f>
        <v>#N/A</v>
      </c>
      <c r="AP23" s="184" t="e">
        <f ca="1">INDEX(INDIRECT(AK$3),SUM(AO$4:AO23))</f>
        <v>#N/A</v>
      </c>
      <c r="AQ23" s="184" t="b">
        <f ca="1">IF(ISERROR(MATCH(AP23,INDIRECT(ProductTable!$AI$4),0)),FALSE,TRUE)</f>
        <v>0</v>
      </c>
      <c r="AR23" s="184" t="e">
        <f ca="1">MATCH(TRUE,OFFSET(INDIRECT($AQ$3),SUM($AR$4:$AR22),0),0)</f>
        <v>#N/A</v>
      </c>
      <c r="AS23" s="184" t="str">
        <f ca="1">IF(ISERROR(AR23),"",INDEX(INDIRECT(AP$3),SUM(AR$4:AR23)))</f>
        <v/>
      </c>
      <c r="AU23" s="184">
        <f ca="1">IF(OR(EXACT(SelectionTables!$T$4,ProductTable!$L$7),EXACT(SelectionTables!$T$4,"")),"",ProductTable!T26)</f>
        <v>0</v>
      </c>
      <c r="AW23" s="540" t="e">
        <f ca="1">MATCH(TRUE,OFFSET(INDIRECT(INDEX(INDIRECT(CT_STAtoANT!$A$5),MATCH(SelectionTables!$G$4,INDIRECT(CT_STAtoANT!$G$2),0),0)),0,SUM($AW$4:$AW22),1,ProductTable!$H$2-SUM($AW$4:$AW22)),0)</f>
        <v>#REF!</v>
      </c>
      <c r="AX23" s="541" t="e">
        <f ca="1">INDEX(INDIRECT(CT_STAtoANT!$G$3),1,SUM($AW$4:$AW23))</f>
        <v>#REF!</v>
      </c>
      <c r="AY23" s="541" t="b">
        <f ca="1">IF(ISERROR(MATCH(AX23,INDIRECT(ProductTable!$J$4),0)),FALSE,TRUE)</f>
        <v>0</v>
      </c>
      <c r="AZ23" s="541" t="e">
        <f ca="1">MATCH(TRUE,OFFSET(INDIRECT($AY$3),SUM($AZ$4:$AZ22),0,ProductTable!$H$2-SUM($AZ$4:$AZ22),1),0)</f>
        <v>#REF!</v>
      </c>
      <c r="BA23" s="541" t="str">
        <f ca="1">IF(ISERROR($AZ23),"",INDEX(INDIRECT($AX$3),SUM($AZ$4:$AZ23)))</f>
        <v/>
      </c>
      <c r="BB23" s="541" t="e">
        <f ca="1">MATCH(TRUE,OFFSET(INDIRECT(INDEX(INDIRECT(CT_APtoANT!$A$5),MATCH(SelectionTables!$S$4,INDIRECT(CT_APtoANT!$G$2),0),0)),0,SUM($BB$4:$BB22),1,ProductTable!$H$2-SUM($BB$4:$BB22)),0)</f>
        <v>#REF!</v>
      </c>
      <c r="BC23" s="541" t="e">
        <f ca="1">INDEX(INDIRECT(CT_APtoANT!$G$3),1,SUM($BB$4:$BB23))</f>
        <v>#REF!</v>
      </c>
      <c r="BD23" s="541" t="b">
        <f t="shared" ca="1" si="2"/>
        <v>0</v>
      </c>
      <c r="BE23" s="541" t="e">
        <f ca="1">MATCH(TRUE,OFFSET(INDIRECT($BD$3),SUM($BE$4:$BE22),0,ProductTable!$H$2-SUM($BE$4:$BE22),1),0)</f>
        <v>#REF!</v>
      </c>
      <c r="BF23" s="541" t="str">
        <f ca="1">IF(ISERROR($BE23),"",INDEX(INDIRECT($BA$3),SUM($BE$4:$BE23)))</f>
        <v/>
      </c>
      <c r="BH23" s="541" t="e">
        <f ca="1">MATCH(TRUE,OFFSET(INDIRECT(INDEX(INDIRECT(CT_APtoC1!$A$5),MATCH(SelectionTables!$S$4,INDIRECT(CT_APtoC1!$G$2),0),0)),0,SUM($BH$4:$BH22),1,ProductTable!$AG$2-SUM($BH$4:$BH22)),0)</f>
        <v>#REF!</v>
      </c>
      <c r="BI23" s="541" t="e">
        <f ca="1">INDEX(INDIRECT(CT_APtoC1!$G$3),1,SUM($BH$4:$BH23))</f>
        <v>#REF!</v>
      </c>
      <c r="BJ23" s="541" t="b">
        <f ca="1">IF(ISERROR(MATCH(BI23,INDIRECT(ProductTable!$AI$4),0)),FALSE,TRUE)</f>
        <v>0</v>
      </c>
      <c r="BK23" s="541" t="e">
        <f ca="1">MATCH(TRUE,OFFSET(INDIRECT($BJ$3),SUM($BK$4:$BK22),0,ProductTable!$AG$2-SUM($BK$4:$BK22),1),0)</f>
        <v>#N/A</v>
      </c>
      <c r="BL23" s="541" t="str">
        <f ca="1">IF(ISERROR($BK23),"",INDEX(INDIRECT($BI$3),SUM($BK$4:$BK23)))</f>
        <v/>
      </c>
    </row>
    <row r="24" spans="2:64" x14ac:dyDescent="0.25">
      <c r="B24" s="184" t="e">
        <f ca="1">MATCH(TRUE,OFFSET(INDIRECT(INDEX(INDIRECT(CT_APtoSTA!$B$4),0,MATCH(SelectionTables!$G$4,INDIRECT(CT_APtoSTA!$G$3),0))),SUM($B$4:$B23),0,ProductTable!$C$2-SUM($B$4:$B23)),0)</f>
        <v>#REF!</v>
      </c>
      <c r="C24" s="184" t="e">
        <f ca="1">INDEX(INDIRECT(CT_APtoSTA!$G$2),SUM($B$4:$B24))</f>
        <v>#REF!</v>
      </c>
      <c r="D24" s="184" t="b">
        <f ca="1">IF(ISERROR(MATCH(C24,INDIRECT(ProductTable!$E$4),0)),FALSE,TRUE)</f>
        <v>0</v>
      </c>
      <c r="E24" s="184" t="e">
        <f ca="1">MATCH(TRUE,OFFSET(INDIRECT($D$3),SUM($E$4:$E23),0,ProductTable!$C$2-SUM($E$4:$E23),1),0)</f>
        <v>#N/A</v>
      </c>
      <c r="F24" s="184" t="str">
        <f ca="1">IF(ISERROR($E24),"",INDEX(INDIRECT($C$3),SUM($E$4:$E24)))</f>
        <v/>
      </c>
      <c r="G24" s="92"/>
      <c r="H24" s="268" t="e">
        <f ca="1">MATCH(TRUE,OFFSET(INDIRECT(INDEX(INDIRECT(CT_STAtoWLAN!$A$5),MATCH(SelectionTables!$G$4,INDIRECT(CT_STAtoWLAN!$G$2),0),0)),0,SUM($H$4:$H23),1,ProductTable!$W$2-SUM($H$4:$H23)),0)</f>
        <v>#REF!</v>
      </c>
      <c r="I24" s="251" t="e">
        <f ca="1">INDEX(INDIRECT(CT_STAtoWLAN!$G$3),1,SUM($H$4:$H24))</f>
        <v>#REF!</v>
      </c>
      <c r="J24" s="268" t="e">
        <f ca="1">MATCH(TRUE,OFFSET(INDIRECT(INDEX(INDIRECT(CT_APtoWLAN!$A$5),MATCH(SelectionTables!$S$4,INDIRECT(CT_APtoWLAN!$G$2),0),0)),0,SUM($J$4:$J23),1,ProductTable!$W$2-SUM($J$4:$J23)),0)</f>
        <v>#REF!</v>
      </c>
      <c r="K24" s="251" t="e">
        <f ca="1">INDEX(INDIRECT(CT_APtoWLAN!$G$3),1,SUM($J$4:$J24))</f>
        <v>#REF!</v>
      </c>
      <c r="L24" s="268" t="b">
        <f t="shared" ca="1" si="3"/>
        <v>0</v>
      </c>
      <c r="M24" s="184" t="e">
        <f ca="1">MATCH(TRUE,OFFSET(INDIRECT(L$3),SUM(M$4:M23),0),0)</f>
        <v>#N/A</v>
      </c>
      <c r="N24" s="251" t="e">
        <f ca="1">INDEX(INDIRECT(I$3),SUM(M$4:M24))</f>
        <v>#N/A</v>
      </c>
      <c r="O24" s="184" t="b">
        <f ca="1">IF(ISERROR(MATCH(N24,INDIRECT(ProductTable!$Y$4),0)),FALSE,TRUE)</f>
        <v>0</v>
      </c>
      <c r="P24" s="184" t="e">
        <f ca="1">MATCH(TRUE,OFFSET(INDIRECT(O$3),SUM(P$4:P23),0),0)</f>
        <v>#N/A</v>
      </c>
      <c r="Q24" s="184" t="str">
        <f ca="1">IF(ISERROR(P24),"",INDEX(INDIRECT(N$3),SUM($P$4:$P24)))</f>
        <v/>
      </c>
      <c r="S24" s="134" t="e">
        <f ca="1">MATCH(TRUE,OFFSET(INDIRECT(INDEX(INDIRECT(CT_STAtoANT!$A$5),MATCH(SelectionTables!$G$4,INDIRECT(CT_STAtoANT!$G$2),0),0)),0,SUM($S$4:$S23),1,ProductTable!$H$2-SUM($S$4:$S23)),0)</f>
        <v>#REF!</v>
      </c>
      <c r="T24" s="184" t="e">
        <f ca="1">INDEX(INDIRECT(CT_STAtoANT!$G$3),1,SUM($S$4:$S24))</f>
        <v>#REF!</v>
      </c>
      <c r="U24" s="184" t="b">
        <f ca="1">IF(ISERROR(MATCH(T24,INDIRECT(ProductTable!$J$4),0)),FALSE,TRUE)</f>
        <v>0</v>
      </c>
      <c r="V24" s="184" t="e">
        <f ca="1">MATCH(TRUE,OFFSET(INDIRECT($U$3),SUM($V$4:$V23),0,ProductTable!$H$2-SUM($V$4:$V23),1),0)</f>
        <v>#REF!</v>
      </c>
      <c r="W24" s="184" t="str">
        <f ca="1">IF(ISERROR($V24),"",INDEX(INDIRECT($T$3),SUM($V$4:$V24)))</f>
        <v/>
      </c>
      <c r="Y24" s="184" t="e">
        <f ca="1">MATCH(TRUE,OFFSET(INDIRECT(INDEX(INDIRECT(CT_APtoC1!$A$5),MATCH(SelectionTables!$S$4,INDIRECT(CT_APtoC1!$G$2),0),0)),0,SUM($Y$4:$Y23),1,ProductTable!$C$2-SUM($Y$4:$Y23)),0)</f>
        <v>#REF!</v>
      </c>
      <c r="Z24" s="251" t="e">
        <f ca="1">INDEX(INDIRECT(CT_APtoC1!$G$3),1,SUM($Y$4:$Y24))</f>
        <v>#REF!</v>
      </c>
      <c r="AA24" s="184" t="e">
        <f ca="1">MATCH(TRUE,OFFSET(INDIRECT(INDEX(INDIRECT(CT_C1toANT!$B$4),0,MATCH(SelectionTables!$U$4,INDIRECT(CT_C1toANT!$G$3),0))),SUM(AA$4:AA23),0,ProductTable!$M$2-SUM(AA$4:AA23)),0)</f>
        <v>#REF!</v>
      </c>
      <c r="AB24" s="251" t="str">
        <f ca="1">IF(ISERROR(AA24),"",INDEX(INDIRECT(CT_C1toANT!$G$2),SUM(AA$4:AA24)))</f>
        <v/>
      </c>
      <c r="AC24" s="184" t="b">
        <f t="shared" ca="1" si="1"/>
        <v>0</v>
      </c>
      <c r="AD24" s="184" t="e">
        <f ca="1">MATCH(TRUE,OFFSET(INDIRECT($AC$3),SUM($AD$4:$AD23),0),0)</f>
        <v>#N/A</v>
      </c>
      <c r="AE24" s="184" t="e">
        <f ca="1">INDEX(INDIRECT($Z$3),SUM($AD$4:$AD24))</f>
        <v>#N/A</v>
      </c>
      <c r="AF24" s="184" t="b">
        <f ca="1">IF(ISERROR(MATCH(AE24,INDIRECT(ProductTable!$O$4),0)),FALSE,TRUE)</f>
        <v>0</v>
      </c>
      <c r="AG24" s="184" t="e">
        <f ca="1">MATCH(TRUE,OFFSET(INDIRECT($AF$3),SUM($AG$4:$AG23),0),0)</f>
        <v>#N/A</v>
      </c>
      <c r="AH24" s="184" t="str">
        <f ca="1">IF(ISERROR(AG24),"",INDEX(INDIRECT($AE$3),SUM($AG$4:$AG24)))</f>
        <v/>
      </c>
      <c r="AJ24" s="184" t="e">
        <f ca="1">MATCH(TRUE,OFFSET(INDIRECT(INDEX(INDIRECT(CT_SAtoC1!$A$5),MATCH(SelectionTables!$V$4,INDIRECT(CT_SAtoC1!$G$2),0),0)),0,SUM($AJ$4:$AJ23),1,ProductTable!$C$2-SUM($AJ$4:$AJ23)),0)</f>
        <v>#REF!</v>
      </c>
      <c r="AK24" s="251" t="e">
        <f ca="1">INDEX(INDIRECT(CT_SAtoC1!$G$3),1,SUM($AJ$4:$AJ24))</f>
        <v>#REF!</v>
      </c>
      <c r="AL24" s="184" t="e">
        <f ca="1">MATCH(TRUE,OFFSET(INDIRECT(INDEX(INDIRECT(CT_C1toANT!$B$4),0,MATCH(SelectionTables!$U$4,INDIRECT(CT_C1toANT!$G$3),0))),SUM(AL$4:AL23),0,ProductTable!$M$2-SUM(AL$4:AL23)),0)</f>
        <v>#REF!</v>
      </c>
      <c r="AM24" s="251" t="str">
        <f ca="1">IF(ISERROR(AL24),"",INDEX(INDIRECT(CT_C1toANT!$G$2),SUM(AL$4:AL24)))</f>
        <v/>
      </c>
      <c r="AN24" s="184" t="b">
        <f t="shared" ca="1" si="0"/>
        <v>0</v>
      </c>
      <c r="AO24" s="184" t="e">
        <f ca="1">MATCH(TRUE,OFFSET(INDIRECT(AN$3),SUM(AO$4:AO23),0),0)</f>
        <v>#N/A</v>
      </c>
      <c r="AP24" s="184" t="e">
        <f ca="1">INDEX(INDIRECT(AK$3),SUM(AO$4:AO24))</f>
        <v>#N/A</v>
      </c>
      <c r="AQ24" s="184" t="b">
        <f ca="1">IF(ISERROR(MATCH(AP24,INDIRECT(ProductTable!$AI$4),0)),FALSE,TRUE)</f>
        <v>0</v>
      </c>
      <c r="AR24" s="184" t="e">
        <f ca="1">MATCH(TRUE,OFFSET(INDIRECT($AQ$3),SUM($AR$4:$AR23),0),0)</f>
        <v>#N/A</v>
      </c>
      <c r="AS24" s="184" t="str">
        <f ca="1">IF(ISERROR(AR24),"",INDEX(INDIRECT(AP$3),SUM(AR$4:AR24)))</f>
        <v/>
      </c>
      <c r="AU24" s="184">
        <f ca="1">IF(OR(EXACT(SelectionTables!$T$4,ProductTable!$L$7),EXACT(SelectionTables!$T$4,"")),"",ProductTable!T27)</f>
        <v>0</v>
      </c>
      <c r="AW24" s="540" t="e">
        <f ca="1">MATCH(TRUE,OFFSET(INDIRECT(INDEX(INDIRECT(CT_STAtoANT!$A$5),MATCH(SelectionTables!$G$4,INDIRECT(CT_STAtoANT!$G$2),0),0)),0,SUM($AW$4:$AW23),1,ProductTable!$H$2-SUM($AW$4:$AW23)),0)</f>
        <v>#REF!</v>
      </c>
      <c r="AX24" s="541" t="e">
        <f ca="1">INDEX(INDIRECT(CT_STAtoANT!$G$3),1,SUM($AW$4:$AW24))</f>
        <v>#REF!</v>
      </c>
      <c r="AY24" s="541" t="b">
        <f ca="1">IF(ISERROR(MATCH(AX24,INDIRECT(ProductTable!$J$4),0)),FALSE,TRUE)</f>
        <v>0</v>
      </c>
      <c r="AZ24" s="541" t="e">
        <f ca="1">MATCH(TRUE,OFFSET(INDIRECT($AY$3),SUM($AZ$4:$AZ23),0,ProductTable!$H$2-SUM($AZ$4:$AZ23),1),0)</f>
        <v>#REF!</v>
      </c>
      <c r="BA24" s="541" t="str">
        <f ca="1">IF(ISERROR($AZ24),"",INDEX(INDIRECT($AX$3),SUM($AZ$4:$AZ24)))</f>
        <v/>
      </c>
      <c r="BB24" s="541" t="e">
        <f ca="1">MATCH(TRUE,OFFSET(INDIRECT(INDEX(INDIRECT(CT_APtoANT!$A$5),MATCH(SelectionTables!$S$4,INDIRECT(CT_APtoANT!$G$2),0),0)),0,SUM($BB$4:$BB23),1,ProductTable!$H$2-SUM($BB$4:$BB23)),0)</f>
        <v>#REF!</v>
      </c>
      <c r="BC24" s="541" t="e">
        <f ca="1">INDEX(INDIRECT(CT_APtoANT!$G$3),1,SUM($BB$4:$BB24))</f>
        <v>#REF!</v>
      </c>
      <c r="BD24" s="541" t="b">
        <f t="shared" ca="1" si="2"/>
        <v>0</v>
      </c>
      <c r="BE24" s="541" t="e">
        <f ca="1">MATCH(TRUE,OFFSET(INDIRECT($BD$3),SUM($BE$4:$BE23),0,ProductTable!$H$2-SUM($BE$4:$BE23),1),0)</f>
        <v>#REF!</v>
      </c>
      <c r="BF24" s="541" t="str">
        <f ca="1">IF(ISERROR($BE24),"",INDEX(INDIRECT($BA$3),SUM($BE$4:$BE24)))</f>
        <v/>
      </c>
      <c r="BH24" s="541" t="e">
        <f ca="1">MATCH(TRUE,OFFSET(INDIRECT(INDEX(INDIRECT(CT_APtoC1!$A$5),MATCH(SelectionTables!$S$4,INDIRECT(CT_APtoC1!$G$2),0),0)),0,SUM($BH$4:$BH23),1,ProductTable!$AG$2-SUM($BH$4:$BH23)),0)</f>
        <v>#REF!</v>
      </c>
      <c r="BI24" s="541" t="e">
        <f ca="1">INDEX(INDIRECT(CT_APtoC1!$G$3),1,SUM($BH$4:$BH24))</f>
        <v>#REF!</v>
      </c>
      <c r="BJ24" s="541" t="b">
        <f ca="1">IF(ISERROR(MATCH(BI24,INDIRECT(ProductTable!$AI$4),0)),FALSE,TRUE)</f>
        <v>0</v>
      </c>
      <c r="BK24" s="541" t="e">
        <f ca="1">MATCH(TRUE,OFFSET(INDIRECT($BJ$3),SUM($BK$4:$BK23),0,ProductTable!$AG$2-SUM($BK$4:$BK23),1),0)</f>
        <v>#N/A</v>
      </c>
      <c r="BL24" s="541" t="str">
        <f ca="1">IF(ISERROR($BK24),"",INDEX(INDIRECT($BI$3),SUM($BK$4:$BK24)))</f>
        <v/>
      </c>
    </row>
    <row r="25" spans="2:64" x14ac:dyDescent="0.25">
      <c r="B25" s="184" t="e">
        <f ca="1">MATCH(TRUE,OFFSET(INDIRECT(INDEX(INDIRECT(CT_APtoSTA!$B$4),0,MATCH(SelectionTables!$G$4,INDIRECT(CT_APtoSTA!$G$3),0))),SUM($B$4:$B24),0,ProductTable!$C$2-SUM($B$4:$B24)),0)</f>
        <v>#REF!</v>
      </c>
      <c r="C25" s="184" t="e">
        <f ca="1">INDEX(INDIRECT(CT_APtoSTA!$G$2),SUM($B$4:$B25))</f>
        <v>#REF!</v>
      </c>
      <c r="D25" s="184" t="b">
        <f ca="1">IF(ISERROR(MATCH(C25,INDIRECT(ProductTable!$E$4),0)),FALSE,TRUE)</f>
        <v>0</v>
      </c>
      <c r="E25" s="184" t="e">
        <f ca="1">MATCH(TRUE,OFFSET(INDIRECT($D$3),SUM($E$4:$E24),0,ProductTable!$C$2-SUM($E$4:$E24),1),0)</f>
        <v>#N/A</v>
      </c>
      <c r="F25" s="184" t="str">
        <f ca="1">IF(ISERROR($E25),"",INDEX(INDIRECT($C$3),SUM($E$4:$E25)))</f>
        <v/>
      </c>
      <c r="G25" s="92"/>
      <c r="H25" s="268" t="e">
        <f ca="1">MATCH(TRUE,OFFSET(INDIRECT(INDEX(INDIRECT(CT_STAtoWLAN!$A$5),MATCH(SelectionTables!$G$4,INDIRECT(CT_STAtoWLAN!$G$2),0),0)),0,SUM($H$4:$H24),1,ProductTable!$W$2-SUM($H$4:$H24)),0)</f>
        <v>#REF!</v>
      </c>
      <c r="I25" s="251" t="e">
        <f ca="1">INDEX(INDIRECT(CT_STAtoWLAN!$G$3),1,SUM($H$4:$H25))</f>
        <v>#REF!</v>
      </c>
      <c r="J25" s="268" t="e">
        <f ca="1">MATCH(TRUE,OFFSET(INDIRECT(INDEX(INDIRECT(CT_APtoWLAN!$A$5),MATCH(SelectionTables!$S$4,INDIRECT(CT_APtoWLAN!$G$2),0),0)),0,SUM($J$4:$J24),1,ProductTable!$W$2-SUM($J$4:$J24)),0)</f>
        <v>#REF!</v>
      </c>
      <c r="K25" s="251" t="e">
        <f ca="1">INDEX(INDIRECT(CT_APtoWLAN!$G$3),1,SUM($J$4:$J25))</f>
        <v>#REF!</v>
      </c>
      <c r="L25" s="268" t="b">
        <f t="shared" ca="1" si="3"/>
        <v>0</v>
      </c>
      <c r="M25" s="184" t="e">
        <f ca="1">MATCH(TRUE,OFFSET(INDIRECT(L$3),SUM(M$4:M24),0),0)</f>
        <v>#N/A</v>
      </c>
      <c r="N25" s="251" t="e">
        <f ca="1">INDEX(INDIRECT(I$3),SUM(M$4:M25))</f>
        <v>#N/A</v>
      </c>
      <c r="O25" s="184" t="b">
        <f ca="1">IF(ISERROR(MATCH(N25,INDIRECT(ProductTable!$Y$4),0)),FALSE,TRUE)</f>
        <v>0</v>
      </c>
      <c r="P25" s="184" t="e">
        <f ca="1">MATCH(TRUE,OFFSET(INDIRECT(O$3),SUM(P$4:P24),0),0)</f>
        <v>#N/A</v>
      </c>
      <c r="Q25" s="184" t="str">
        <f ca="1">IF(ISERROR(P25),"",INDEX(INDIRECT(N$3),SUM($P$4:$P25)))</f>
        <v/>
      </c>
      <c r="S25" s="134" t="e">
        <f ca="1">MATCH(TRUE,OFFSET(INDIRECT(INDEX(INDIRECT(CT_STAtoANT!$A$5),MATCH(SelectionTables!$G$4,INDIRECT(CT_STAtoANT!$G$2),0),0)),0,SUM($S$4:$S24),1,ProductTable!$H$2-SUM($S$4:$S24)),0)</f>
        <v>#REF!</v>
      </c>
      <c r="T25" s="184" t="e">
        <f ca="1">INDEX(INDIRECT(CT_STAtoANT!$G$3),1,SUM($S$4:$S25))</f>
        <v>#REF!</v>
      </c>
      <c r="U25" s="184" t="b">
        <f ca="1">IF(ISERROR(MATCH(T25,INDIRECT(ProductTable!$J$4),0)),FALSE,TRUE)</f>
        <v>0</v>
      </c>
      <c r="V25" s="184" t="e">
        <f ca="1">MATCH(TRUE,OFFSET(INDIRECT($U$3),SUM($V$4:$V24),0,ProductTable!$H$2-SUM($V$4:$V24),1),0)</f>
        <v>#REF!</v>
      </c>
      <c r="W25" s="184" t="str">
        <f ca="1">IF(ISERROR($V25),"",INDEX(INDIRECT($T$3),SUM($V$4:$V25)))</f>
        <v/>
      </c>
      <c r="Y25" s="184" t="e">
        <f ca="1">MATCH(TRUE,OFFSET(INDIRECT(INDEX(INDIRECT(CT_APtoC1!$A$5),MATCH(SelectionTables!$S$4,INDIRECT(CT_APtoC1!$G$2),0),0)),0,SUM($Y$4:$Y24),1,ProductTable!$C$2-SUM($Y$4:$Y24)),0)</f>
        <v>#REF!</v>
      </c>
      <c r="Z25" s="251" t="e">
        <f ca="1">INDEX(INDIRECT(CT_APtoC1!$G$3),1,SUM($Y$4:$Y25))</f>
        <v>#REF!</v>
      </c>
      <c r="AA25" s="184" t="e">
        <f ca="1">MATCH(TRUE,OFFSET(INDIRECT(INDEX(INDIRECT(CT_C1toANT!$B$4),0,MATCH(SelectionTables!$U$4,INDIRECT(CT_C1toANT!$G$3),0))),SUM(AA$4:AA24),0,ProductTable!$M$2-SUM(AA$4:AA24)),0)</f>
        <v>#REF!</v>
      </c>
      <c r="AB25" s="251" t="str">
        <f ca="1">IF(ISERROR(AA25),"",INDEX(INDIRECT(CT_C1toANT!$G$2),SUM(AA$4:AA25)))</f>
        <v/>
      </c>
      <c r="AC25" s="184" t="b">
        <f t="shared" ca="1" si="1"/>
        <v>0</v>
      </c>
      <c r="AD25" s="184" t="e">
        <f ca="1">MATCH(TRUE,OFFSET(INDIRECT($AC$3),SUM($AD$4:$AD24),0),0)</f>
        <v>#N/A</v>
      </c>
      <c r="AE25" s="184" t="e">
        <f ca="1">INDEX(INDIRECT($Z$3),SUM($AD$4:$AD25))</f>
        <v>#N/A</v>
      </c>
      <c r="AF25" s="184" t="b">
        <f ca="1">IF(ISERROR(MATCH(AE25,INDIRECT(ProductTable!$O$4),0)),FALSE,TRUE)</f>
        <v>0</v>
      </c>
      <c r="AG25" s="184" t="e">
        <f ca="1">MATCH(TRUE,OFFSET(INDIRECT($AF$3),SUM($AG$4:$AG24),0),0)</f>
        <v>#N/A</v>
      </c>
      <c r="AH25" s="184" t="str">
        <f ca="1">IF(ISERROR(AG25),"",INDEX(INDIRECT($AE$3),SUM($AG$4:$AG25)))</f>
        <v/>
      </c>
      <c r="AJ25" s="184" t="e">
        <f ca="1">MATCH(TRUE,OFFSET(INDIRECT(INDEX(INDIRECT(CT_SAtoC1!$A$5),MATCH(SelectionTables!$V$4,INDIRECT(CT_SAtoC1!$G$2),0),0)),0,SUM($AJ$4:$AJ24),1,ProductTable!$C$2-SUM($AJ$4:$AJ24)),0)</f>
        <v>#REF!</v>
      </c>
      <c r="AK25" s="251" t="e">
        <f ca="1">INDEX(INDIRECT(CT_SAtoC1!$G$3),1,SUM($AJ$4:$AJ25))</f>
        <v>#REF!</v>
      </c>
      <c r="AL25" s="184" t="e">
        <f ca="1">MATCH(TRUE,OFFSET(INDIRECT(INDEX(INDIRECT(CT_C1toANT!$B$4),0,MATCH(SelectionTables!$U$4,INDIRECT(CT_C1toANT!$G$3),0))),SUM(AL$4:AL24),0,ProductTable!$M$2-SUM(AL$4:AL24)),0)</f>
        <v>#REF!</v>
      </c>
      <c r="AM25" s="251" t="str">
        <f ca="1">IF(ISERROR(AL25),"",INDEX(INDIRECT(CT_C1toANT!$G$2),SUM(AL$4:AL25)))</f>
        <v/>
      </c>
      <c r="AN25" s="184" t="b">
        <f t="shared" ca="1" si="0"/>
        <v>0</v>
      </c>
      <c r="AO25" s="184" t="e">
        <f ca="1">MATCH(TRUE,OFFSET(INDIRECT(AN$3),SUM(AO$4:AO24),0),0)</f>
        <v>#N/A</v>
      </c>
      <c r="AP25" s="184" t="e">
        <f ca="1">INDEX(INDIRECT(AK$3),SUM(AO$4:AO25))</f>
        <v>#N/A</v>
      </c>
      <c r="AQ25" s="184" t="b">
        <f ca="1">IF(ISERROR(MATCH(AP25,INDIRECT(ProductTable!$AI$4),0)),FALSE,TRUE)</f>
        <v>0</v>
      </c>
      <c r="AR25" s="184" t="e">
        <f ca="1">MATCH(TRUE,OFFSET(INDIRECT($AQ$3),SUM($AR$4:$AR24),0),0)</f>
        <v>#N/A</v>
      </c>
      <c r="AS25" s="184" t="str">
        <f ca="1">IF(ISERROR(AR25),"",INDEX(INDIRECT(AP$3),SUM(AR$4:AR25)))</f>
        <v/>
      </c>
      <c r="AU25" s="184">
        <f ca="1">IF(OR(EXACT(SelectionTables!$T$4,ProductTable!$L$7),EXACT(SelectionTables!$T$4,"")),"",ProductTable!T28)</f>
        <v>0</v>
      </c>
      <c r="AW25" s="540" t="e">
        <f ca="1">MATCH(TRUE,OFFSET(INDIRECT(INDEX(INDIRECT(CT_STAtoANT!$A$5),MATCH(SelectionTables!$G$4,INDIRECT(CT_STAtoANT!$G$2),0),0)),0,SUM($AW$4:$AW24),1,ProductTable!$H$2-SUM($AW$4:$AW24)),0)</f>
        <v>#REF!</v>
      </c>
      <c r="AX25" s="541" t="e">
        <f ca="1">INDEX(INDIRECT(CT_STAtoANT!$G$3),1,SUM($AW$4:$AW25))</f>
        <v>#REF!</v>
      </c>
      <c r="AY25" s="541" t="b">
        <f ca="1">IF(ISERROR(MATCH(AX25,INDIRECT(ProductTable!$J$4),0)),FALSE,TRUE)</f>
        <v>0</v>
      </c>
      <c r="AZ25" s="541" t="e">
        <f ca="1">MATCH(TRUE,OFFSET(INDIRECT($AY$3),SUM($AZ$4:$AZ24),0,ProductTable!$H$2-SUM($AZ$4:$AZ24),1),0)</f>
        <v>#REF!</v>
      </c>
      <c r="BA25" s="541" t="str">
        <f ca="1">IF(ISERROR($AZ25),"",INDEX(INDIRECT($AX$3),SUM($AZ$4:$AZ25)))</f>
        <v/>
      </c>
      <c r="BB25" s="541" t="e">
        <f ca="1">MATCH(TRUE,OFFSET(INDIRECT(INDEX(INDIRECT(CT_APtoANT!$A$5),MATCH(SelectionTables!$S$4,INDIRECT(CT_APtoANT!$G$2),0),0)),0,SUM($BB$4:$BB24),1,ProductTable!$H$2-SUM($BB$4:$BB24)),0)</f>
        <v>#REF!</v>
      </c>
      <c r="BC25" s="541" t="e">
        <f ca="1">INDEX(INDIRECT(CT_APtoANT!$G$3),1,SUM($BB$4:$BB25))</f>
        <v>#REF!</v>
      </c>
      <c r="BD25" s="541" t="b">
        <f t="shared" ca="1" si="2"/>
        <v>0</v>
      </c>
      <c r="BE25" s="541" t="e">
        <f ca="1">MATCH(TRUE,OFFSET(INDIRECT($BD$3),SUM($BE$4:$BE24),0,ProductTable!$H$2-SUM($BE$4:$BE24),1),0)</f>
        <v>#REF!</v>
      </c>
      <c r="BF25" s="541" t="str">
        <f ca="1">IF(ISERROR($BE25),"",INDEX(INDIRECT($BA$3),SUM($BE$4:$BE25)))</f>
        <v/>
      </c>
      <c r="BH25" s="541" t="e">
        <f ca="1">MATCH(TRUE,OFFSET(INDIRECT(INDEX(INDIRECT(CT_APtoC1!$A$5),MATCH(SelectionTables!$S$4,INDIRECT(CT_APtoC1!$G$2),0),0)),0,SUM($BH$4:$BH24),1,ProductTable!$AG$2-SUM($BH$4:$BH24)),0)</f>
        <v>#REF!</v>
      </c>
      <c r="BI25" s="541" t="e">
        <f ca="1">INDEX(INDIRECT(CT_APtoC1!$G$3),1,SUM($BH$4:$BH25))</f>
        <v>#REF!</v>
      </c>
      <c r="BJ25" s="541" t="b">
        <f ca="1">IF(ISERROR(MATCH(BI25,INDIRECT(ProductTable!$AI$4),0)),FALSE,TRUE)</f>
        <v>0</v>
      </c>
      <c r="BK25" s="541" t="e">
        <f ca="1">MATCH(TRUE,OFFSET(INDIRECT($BJ$3),SUM($BK$4:$BK24),0,ProductTable!$AG$2-SUM($BK$4:$BK24),1),0)</f>
        <v>#N/A</v>
      </c>
      <c r="BL25" s="541" t="str">
        <f ca="1">IF(ISERROR($BK25),"",INDEX(INDIRECT($BI$3),SUM($BK$4:$BK25)))</f>
        <v/>
      </c>
    </row>
    <row r="26" spans="2:64" x14ac:dyDescent="0.25">
      <c r="B26" s="184" t="e">
        <f ca="1">MATCH(TRUE,OFFSET(INDIRECT(INDEX(INDIRECT(CT_APtoSTA!$B$4),0,MATCH(SelectionTables!$G$4,INDIRECT(CT_APtoSTA!$G$3),0))),SUM($B$4:$B25),0,ProductTable!$C$2-SUM($B$4:$B25)),0)</f>
        <v>#REF!</v>
      </c>
      <c r="C26" s="184" t="e">
        <f ca="1">INDEX(INDIRECT(CT_APtoSTA!$G$2),SUM($B$4:$B26))</f>
        <v>#REF!</v>
      </c>
      <c r="D26" s="184" t="b">
        <f ca="1">IF(ISERROR(MATCH(C26,INDIRECT(ProductTable!$E$4),0)),FALSE,TRUE)</f>
        <v>0</v>
      </c>
      <c r="E26" s="184" t="e">
        <f ca="1">MATCH(TRUE,OFFSET(INDIRECT($D$3),SUM($E$4:$E25),0,ProductTable!$C$2-SUM($E$4:$E25),1),0)</f>
        <v>#N/A</v>
      </c>
      <c r="F26" s="184" t="str">
        <f ca="1">IF(ISERROR($E26),"",INDEX(INDIRECT($C$3),SUM($E$4:$E26)))</f>
        <v/>
      </c>
      <c r="G26" s="92"/>
      <c r="H26" s="268" t="e">
        <f ca="1">MATCH(TRUE,OFFSET(INDIRECT(INDEX(INDIRECT(CT_STAtoWLAN!$A$5),MATCH(SelectionTables!$G$4,INDIRECT(CT_STAtoWLAN!$G$2),0),0)),0,SUM($H$4:$H25),1,ProductTable!$W$2-SUM($H$4:$H25)),0)</f>
        <v>#REF!</v>
      </c>
      <c r="I26" s="251" t="e">
        <f ca="1">INDEX(INDIRECT(CT_STAtoWLAN!$G$3),1,SUM($H$4:$H26))</f>
        <v>#REF!</v>
      </c>
      <c r="J26" s="268" t="e">
        <f ca="1">MATCH(TRUE,OFFSET(INDIRECT(INDEX(INDIRECT(CT_APtoWLAN!$A$5),MATCH(SelectionTables!$S$4,INDIRECT(CT_APtoWLAN!$G$2),0),0)),0,SUM($J$4:$J25),1,ProductTable!$W$2-SUM($J$4:$J25)),0)</f>
        <v>#REF!</v>
      </c>
      <c r="K26" s="251" t="e">
        <f ca="1">INDEX(INDIRECT(CT_APtoWLAN!$G$3),1,SUM($J$4:$J26))</f>
        <v>#REF!</v>
      </c>
      <c r="L26" s="268" t="b">
        <f t="shared" ca="1" si="3"/>
        <v>0</v>
      </c>
      <c r="M26" s="184" t="e">
        <f ca="1">MATCH(TRUE,OFFSET(INDIRECT(L$3),SUM(M$4:M25),0),0)</f>
        <v>#N/A</v>
      </c>
      <c r="N26" s="251" t="e">
        <f ca="1">INDEX(INDIRECT(I$3),SUM(M$4:M26))</f>
        <v>#N/A</v>
      </c>
      <c r="O26" s="184" t="b">
        <f ca="1">IF(ISERROR(MATCH(N26,INDIRECT(ProductTable!$Y$4),0)),FALSE,TRUE)</f>
        <v>0</v>
      </c>
      <c r="P26" s="184" t="e">
        <f ca="1">MATCH(TRUE,OFFSET(INDIRECT(O$3),SUM(P$4:P25),0),0)</f>
        <v>#N/A</v>
      </c>
      <c r="Q26" s="184" t="str">
        <f ca="1">IF(ISERROR(P26),"",INDEX(INDIRECT(N$3),SUM($P$4:$P26)))</f>
        <v/>
      </c>
      <c r="S26" s="134" t="e">
        <f ca="1">MATCH(TRUE,OFFSET(INDIRECT(INDEX(INDIRECT(CT_STAtoANT!$A$5),MATCH(SelectionTables!$G$4,INDIRECT(CT_STAtoANT!$G$2),0),0)),0,SUM($S$4:$S25),1,ProductTable!$H$2-SUM($S$4:$S25)),0)</f>
        <v>#REF!</v>
      </c>
      <c r="T26" s="184" t="e">
        <f ca="1">INDEX(INDIRECT(CT_STAtoANT!$G$3),1,SUM($S$4:$S26))</f>
        <v>#REF!</v>
      </c>
      <c r="U26" s="184" t="b">
        <f ca="1">IF(ISERROR(MATCH(T26,INDIRECT(ProductTable!$J$4),0)),FALSE,TRUE)</f>
        <v>0</v>
      </c>
      <c r="V26" s="184" t="e">
        <f ca="1">MATCH(TRUE,OFFSET(INDIRECT($U$3),SUM($V$4:$V25),0,ProductTable!$H$2-SUM($V$4:$V25),1),0)</f>
        <v>#REF!</v>
      </c>
      <c r="W26" s="184" t="str">
        <f ca="1">IF(ISERROR($V26),"",INDEX(INDIRECT($T$3),SUM($V$4:$V26)))</f>
        <v/>
      </c>
      <c r="Y26" s="184" t="e">
        <f ca="1">MATCH(TRUE,OFFSET(INDIRECT(INDEX(INDIRECT(CT_APtoC1!$A$5),MATCH(SelectionTables!$S$4,INDIRECT(CT_APtoC1!$G$2),0),0)),0,SUM($Y$4:$Y25),1,ProductTable!$C$2-SUM($Y$4:$Y25)),0)</f>
        <v>#REF!</v>
      </c>
      <c r="Z26" s="251" t="e">
        <f ca="1">INDEX(INDIRECT(CT_APtoC1!$G$3),1,SUM($Y$4:$Y26))</f>
        <v>#REF!</v>
      </c>
      <c r="AA26" s="184" t="e">
        <f ca="1">MATCH(TRUE,OFFSET(INDIRECT(INDEX(INDIRECT(CT_C1toANT!$B$4),0,MATCH(SelectionTables!$U$4,INDIRECT(CT_C1toANT!$G$3),0))),SUM(AA$4:AA25),0,ProductTable!$M$2-SUM(AA$4:AA25)),0)</f>
        <v>#REF!</v>
      </c>
      <c r="AB26" s="251" t="str">
        <f ca="1">IF(ISERROR(AA26),"",INDEX(INDIRECT(CT_C1toANT!$G$2),SUM(AA$4:AA26)))</f>
        <v/>
      </c>
      <c r="AC26" s="184" t="b">
        <f t="shared" ca="1" si="1"/>
        <v>0</v>
      </c>
      <c r="AD26" s="184" t="e">
        <f ca="1">MATCH(TRUE,OFFSET(INDIRECT($AC$3),SUM($AD$4:$AD25),0),0)</f>
        <v>#N/A</v>
      </c>
      <c r="AE26" s="184" t="e">
        <f ca="1">INDEX(INDIRECT($Z$3),SUM($AD$4:$AD26))</f>
        <v>#N/A</v>
      </c>
      <c r="AF26" s="184" t="b">
        <f ca="1">IF(ISERROR(MATCH(AE26,INDIRECT(ProductTable!$O$4),0)),FALSE,TRUE)</f>
        <v>0</v>
      </c>
      <c r="AG26" s="184" t="e">
        <f ca="1">MATCH(TRUE,OFFSET(INDIRECT($AF$3),SUM($AG$4:$AG25),0),0)</f>
        <v>#N/A</v>
      </c>
      <c r="AH26" s="184" t="str">
        <f ca="1">IF(ISERROR(AG26),"",INDEX(INDIRECT($AE$3),SUM($AG$4:$AG26)))</f>
        <v/>
      </c>
      <c r="AJ26" s="184" t="e">
        <f ca="1">MATCH(TRUE,OFFSET(INDIRECT(INDEX(INDIRECT(CT_SAtoC1!$A$5),MATCH(SelectionTables!$V$4,INDIRECT(CT_SAtoC1!$G$2),0),0)),0,SUM($AJ$4:$AJ25),1,ProductTable!$C$2-SUM($AJ$4:$AJ25)),0)</f>
        <v>#REF!</v>
      </c>
      <c r="AK26" s="251" t="e">
        <f ca="1">INDEX(INDIRECT(CT_SAtoC1!$G$3),1,SUM($AJ$4:$AJ26))</f>
        <v>#REF!</v>
      </c>
      <c r="AL26" s="184" t="e">
        <f ca="1">MATCH(TRUE,OFFSET(INDIRECT(INDEX(INDIRECT(CT_C1toANT!$B$4),0,MATCH(SelectionTables!$U$4,INDIRECT(CT_C1toANT!$G$3),0))),SUM(AL$4:AL25),0,ProductTable!$M$2-SUM(AL$4:AL25)),0)</f>
        <v>#REF!</v>
      </c>
      <c r="AM26" s="251" t="str">
        <f ca="1">IF(ISERROR(AL26),"",INDEX(INDIRECT(CT_C1toANT!$G$2),SUM(AL$4:AL26)))</f>
        <v/>
      </c>
      <c r="AN26" s="184" t="b">
        <f t="shared" ca="1" si="0"/>
        <v>0</v>
      </c>
      <c r="AO26" s="184" t="e">
        <f ca="1">MATCH(TRUE,OFFSET(INDIRECT(AN$3),SUM(AO$4:AO25),0),0)</f>
        <v>#N/A</v>
      </c>
      <c r="AP26" s="184" t="e">
        <f ca="1">INDEX(INDIRECT(AK$3),SUM(AO$4:AO26))</f>
        <v>#N/A</v>
      </c>
      <c r="AQ26" s="184" t="b">
        <f ca="1">IF(ISERROR(MATCH(AP26,INDIRECT(ProductTable!$AI$4),0)),FALSE,TRUE)</f>
        <v>0</v>
      </c>
      <c r="AR26" s="184" t="e">
        <f ca="1">MATCH(TRUE,OFFSET(INDIRECT($AQ$3),SUM($AR$4:$AR25),0),0)</f>
        <v>#N/A</v>
      </c>
      <c r="AS26" s="184" t="str">
        <f ca="1">IF(ISERROR(AR26),"",INDEX(INDIRECT(AP$3),SUM(AR$4:AR26)))</f>
        <v/>
      </c>
      <c r="AU26" s="184">
        <f ca="1">IF(OR(EXACT(SelectionTables!$T$4,ProductTable!$L$7),EXACT(SelectionTables!$T$4,"")),"",ProductTable!T29)</f>
        <v>0</v>
      </c>
      <c r="AW26" s="540" t="e">
        <f ca="1">MATCH(TRUE,OFFSET(INDIRECT(INDEX(INDIRECT(CT_STAtoANT!$A$5),MATCH(SelectionTables!$G$4,INDIRECT(CT_STAtoANT!$G$2),0),0)),0,SUM($AW$4:$AW25),1,ProductTable!$H$2-SUM($AW$4:$AW25)),0)</f>
        <v>#REF!</v>
      </c>
      <c r="AX26" s="541" t="e">
        <f ca="1">INDEX(INDIRECT(CT_STAtoANT!$G$3),1,SUM($AW$4:$AW26))</f>
        <v>#REF!</v>
      </c>
      <c r="AY26" s="541" t="b">
        <f ca="1">IF(ISERROR(MATCH(AX26,INDIRECT(ProductTable!$J$4),0)),FALSE,TRUE)</f>
        <v>0</v>
      </c>
      <c r="AZ26" s="541" t="e">
        <f ca="1">MATCH(TRUE,OFFSET(INDIRECT($AY$3),SUM($AZ$4:$AZ25),0,ProductTable!$H$2-SUM($AZ$4:$AZ25),1),0)</f>
        <v>#REF!</v>
      </c>
      <c r="BA26" s="541" t="str">
        <f ca="1">IF(ISERROR($AZ26),"",INDEX(INDIRECT($AX$3),SUM($AZ$4:$AZ26)))</f>
        <v/>
      </c>
      <c r="BB26" s="541" t="e">
        <f ca="1">MATCH(TRUE,OFFSET(INDIRECT(INDEX(INDIRECT(CT_APtoANT!$A$5),MATCH(SelectionTables!$S$4,INDIRECT(CT_APtoANT!$G$2),0),0)),0,SUM($BB$4:$BB25),1,ProductTable!$H$2-SUM($BB$4:$BB25)),0)</f>
        <v>#REF!</v>
      </c>
      <c r="BC26" s="541" t="e">
        <f ca="1">INDEX(INDIRECT(CT_APtoANT!$G$3),1,SUM($BB$4:$BB26))</f>
        <v>#REF!</v>
      </c>
      <c r="BD26" s="541" t="b">
        <f t="shared" ca="1" si="2"/>
        <v>0</v>
      </c>
      <c r="BE26" s="541" t="e">
        <f ca="1">MATCH(TRUE,OFFSET(INDIRECT($BD$3),SUM($BE$4:$BE25),0,ProductTable!$H$2-SUM($BE$4:$BE25),1),0)</f>
        <v>#REF!</v>
      </c>
      <c r="BF26" s="541" t="str">
        <f ca="1">IF(ISERROR($BE26),"",INDEX(INDIRECT($BA$3),SUM($BE$4:$BE26)))</f>
        <v/>
      </c>
      <c r="BH26" s="541" t="e">
        <f ca="1">MATCH(TRUE,OFFSET(INDIRECT(INDEX(INDIRECT(CT_APtoC1!$A$5),MATCH(SelectionTables!$S$4,INDIRECT(CT_APtoC1!$G$2),0),0)),0,SUM($BH$4:$BH25),1,ProductTable!$AG$2-SUM($BH$4:$BH25)),0)</f>
        <v>#REF!</v>
      </c>
      <c r="BI26" s="541" t="e">
        <f ca="1">INDEX(INDIRECT(CT_APtoC1!$G$3),1,SUM($BH$4:$BH26))</f>
        <v>#REF!</v>
      </c>
      <c r="BJ26" s="541" t="b">
        <f ca="1">IF(ISERROR(MATCH(BI26,INDIRECT(ProductTable!$AI$4),0)),FALSE,TRUE)</f>
        <v>0</v>
      </c>
      <c r="BK26" s="541" t="e">
        <f ca="1">MATCH(TRUE,OFFSET(INDIRECT($BJ$3),SUM($BK$4:$BK25),0,ProductTable!$AG$2-SUM($BK$4:$BK25),1),0)</f>
        <v>#N/A</v>
      </c>
      <c r="BL26" s="541" t="str">
        <f ca="1">IF(ISERROR($BK26),"",INDEX(INDIRECT($BI$3),SUM($BK$4:$BK26)))</f>
        <v/>
      </c>
    </row>
    <row r="27" spans="2:64" x14ac:dyDescent="0.25">
      <c r="B27" s="184" t="e">
        <f ca="1">MATCH(TRUE,OFFSET(INDIRECT(INDEX(INDIRECT(CT_APtoSTA!$B$4),0,MATCH(SelectionTables!$G$4,INDIRECT(CT_APtoSTA!$G$3),0))),SUM($B$4:$B26),0,ProductTable!$C$2-SUM($B$4:$B26)),0)</f>
        <v>#REF!</v>
      </c>
      <c r="C27" s="184" t="e">
        <f ca="1">INDEX(INDIRECT(CT_APtoSTA!$G$2),SUM($B$4:$B27))</f>
        <v>#REF!</v>
      </c>
      <c r="D27" s="184" t="b">
        <f ca="1">IF(ISERROR(MATCH(C27,INDIRECT(ProductTable!$E$4),0)),FALSE,TRUE)</f>
        <v>0</v>
      </c>
      <c r="E27" s="184" t="e">
        <f ca="1">MATCH(TRUE,OFFSET(INDIRECT($D$3),SUM($E$4:$E26),0,ProductTable!$C$2-SUM($E$4:$E26),1),0)</f>
        <v>#N/A</v>
      </c>
      <c r="F27" s="184" t="str">
        <f ca="1">IF(ISERROR($E27),"",INDEX(INDIRECT($C$3),SUM($E$4:$E27)))</f>
        <v/>
      </c>
      <c r="G27" s="92"/>
      <c r="H27" s="268" t="e">
        <f ca="1">MATCH(TRUE,OFFSET(INDIRECT(INDEX(INDIRECT(CT_STAtoWLAN!$A$5),MATCH(SelectionTables!$G$4,INDIRECT(CT_STAtoWLAN!$G$2),0),0)),0,SUM($H$4:$H26),1,ProductTable!$W$2-SUM($H$4:$H26)),0)</f>
        <v>#REF!</v>
      </c>
      <c r="I27" s="251" t="e">
        <f ca="1">INDEX(INDIRECT(CT_STAtoWLAN!$G$3),1,SUM($H$4:$H27))</f>
        <v>#REF!</v>
      </c>
      <c r="J27" s="268" t="e">
        <f ca="1">MATCH(TRUE,OFFSET(INDIRECT(INDEX(INDIRECT(CT_APtoWLAN!$A$5),MATCH(SelectionTables!$S$4,INDIRECT(CT_APtoWLAN!$G$2),0),0)),0,SUM($J$4:$J26),1,ProductTable!$W$2-SUM($J$4:$J26)),0)</f>
        <v>#REF!</v>
      </c>
      <c r="K27" s="251" t="e">
        <f ca="1">INDEX(INDIRECT(CT_APtoWLAN!$G$3),1,SUM($J$4:$J27))</f>
        <v>#REF!</v>
      </c>
      <c r="L27" s="268" t="b">
        <f t="shared" ca="1" si="3"/>
        <v>0</v>
      </c>
      <c r="M27" s="184" t="e">
        <f ca="1">MATCH(TRUE,OFFSET(INDIRECT(L$3),SUM(M$4:M26),0),0)</f>
        <v>#N/A</v>
      </c>
      <c r="N27" s="251" t="e">
        <f ca="1">INDEX(INDIRECT(I$3),SUM(M$4:M27))</f>
        <v>#N/A</v>
      </c>
      <c r="O27" s="184" t="b">
        <f ca="1">IF(ISERROR(MATCH(N27,INDIRECT(ProductTable!$Y$4),0)),FALSE,TRUE)</f>
        <v>0</v>
      </c>
      <c r="P27" s="184" t="e">
        <f ca="1">MATCH(TRUE,OFFSET(INDIRECT(O$3),SUM(P$4:P26),0),0)</f>
        <v>#N/A</v>
      </c>
      <c r="Q27" s="184" t="str">
        <f ca="1">IF(ISERROR(P27),"",INDEX(INDIRECT(N$3),SUM($P$4:$P27)))</f>
        <v/>
      </c>
      <c r="S27" s="134" t="e">
        <f ca="1">MATCH(TRUE,OFFSET(INDIRECT(INDEX(INDIRECT(CT_STAtoANT!$A$5),MATCH(SelectionTables!$G$4,INDIRECT(CT_STAtoANT!$G$2),0),0)),0,SUM($S$4:$S26),1,ProductTable!$H$2-SUM($S$4:$S26)),0)</f>
        <v>#REF!</v>
      </c>
      <c r="T27" s="184" t="e">
        <f ca="1">INDEX(INDIRECT(CT_STAtoANT!$G$3),1,SUM($S$4:$S27))</f>
        <v>#REF!</v>
      </c>
      <c r="U27" s="184" t="b">
        <f ca="1">IF(ISERROR(MATCH(T27,INDIRECT(ProductTable!$J$4),0)),FALSE,TRUE)</f>
        <v>0</v>
      </c>
      <c r="V27" s="184" t="e">
        <f ca="1">MATCH(TRUE,OFFSET(INDIRECT($U$3),SUM($V$4:$V26),0,ProductTable!$H$2-SUM($V$4:$V26),1),0)</f>
        <v>#REF!</v>
      </c>
      <c r="W27" s="184" t="str">
        <f ca="1">IF(ISERROR($V27),"",INDEX(INDIRECT($T$3),SUM($V$4:$V27)))</f>
        <v/>
      </c>
      <c r="Y27" s="184" t="e">
        <f ca="1">MATCH(TRUE,OFFSET(INDIRECT(INDEX(INDIRECT(CT_APtoC1!$A$5),MATCH(SelectionTables!$S$4,INDIRECT(CT_APtoC1!$G$2),0),0)),0,SUM($Y$4:$Y26),1,ProductTable!$C$2-SUM($Y$4:$Y26)),0)</f>
        <v>#REF!</v>
      </c>
      <c r="Z27" s="251" t="e">
        <f ca="1">INDEX(INDIRECT(CT_APtoC1!$G$3),1,SUM($Y$4:$Y27))</f>
        <v>#REF!</v>
      </c>
      <c r="AA27" s="184" t="e">
        <f ca="1">MATCH(TRUE,OFFSET(INDIRECT(INDEX(INDIRECT(CT_C1toANT!$B$4),0,MATCH(SelectionTables!$U$4,INDIRECT(CT_C1toANT!$G$3),0))),SUM(AA$4:AA26),0,ProductTable!$M$2-SUM(AA$4:AA26)),0)</f>
        <v>#REF!</v>
      </c>
      <c r="AB27" s="251" t="str">
        <f ca="1">IF(ISERROR(AA27),"",INDEX(INDIRECT(CT_C1toANT!$G$2),SUM(AA$4:AA27)))</f>
        <v/>
      </c>
      <c r="AC27" s="184" t="b">
        <f t="shared" ca="1" si="1"/>
        <v>0</v>
      </c>
      <c r="AD27" s="184" t="e">
        <f ca="1">MATCH(TRUE,OFFSET(INDIRECT($AC$3),SUM($AD$4:$AD26),0),0)</f>
        <v>#N/A</v>
      </c>
      <c r="AE27" s="184" t="e">
        <f ca="1">INDEX(INDIRECT($Z$3),SUM($AD$4:$AD27))</f>
        <v>#N/A</v>
      </c>
      <c r="AF27" s="184" t="b">
        <f ca="1">IF(ISERROR(MATCH(AE27,INDIRECT(ProductTable!$O$4),0)),FALSE,TRUE)</f>
        <v>0</v>
      </c>
      <c r="AG27" s="184" t="e">
        <f ca="1">MATCH(TRUE,OFFSET(INDIRECT($AF$3),SUM($AG$4:$AG26),0),0)</f>
        <v>#N/A</v>
      </c>
      <c r="AH27" s="184" t="str">
        <f ca="1">IF(ISERROR(AG27),"",INDEX(INDIRECT($AE$3),SUM($AG$4:$AG27)))</f>
        <v/>
      </c>
      <c r="AJ27" s="184" t="e">
        <f ca="1">MATCH(TRUE,OFFSET(INDIRECT(INDEX(INDIRECT(CT_SAtoC1!$A$5),MATCH(SelectionTables!$V$4,INDIRECT(CT_SAtoC1!$G$2),0),0)),0,SUM($AJ$4:$AJ26),1,ProductTable!$C$2-SUM($AJ$4:$AJ26)),0)</f>
        <v>#REF!</v>
      </c>
      <c r="AK27" s="251" t="e">
        <f ca="1">INDEX(INDIRECT(CT_SAtoC1!$G$3),1,SUM($AJ$4:$AJ27))</f>
        <v>#REF!</v>
      </c>
      <c r="AL27" s="184" t="e">
        <f ca="1">MATCH(TRUE,OFFSET(INDIRECT(INDEX(INDIRECT(CT_C1toANT!$B$4),0,MATCH(SelectionTables!$U$4,INDIRECT(CT_C1toANT!$G$3),0))),SUM(AL$4:AL26),0,ProductTable!$M$2-SUM(AL$4:AL26)),0)</f>
        <v>#REF!</v>
      </c>
      <c r="AM27" s="251" t="str">
        <f ca="1">IF(ISERROR(AL27),"",INDEX(INDIRECT(CT_C1toANT!$G$2),SUM(AL$4:AL27)))</f>
        <v/>
      </c>
      <c r="AN27" s="184" t="b">
        <f t="shared" ca="1" si="0"/>
        <v>0</v>
      </c>
      <c r="AO27" s="184" t="e">
        <f ca="1">MATCH(TRUE,OFFSET(INDIRECT(AN$3),SUM(AO$4:AO26),0),0)</f>
        <v>#N/A</v>
      </c>
      <c r="AP27" s="184" t="e">
        <f ca="1">INDEX(INDIRECT(AK$3),SUM(AO$4:AO27))</f>
        <v>#N/A</v>
      </c>
      <c r="AQ27" s="184" t="b">
        <f ca="1">IF(ISERROR(MATCH(AP27,INDIRECT(ProductTable!$AI$4),0)),FALSE,TRUE)</f>
        <v>0</v>
      </c>
      <c r="AR27" s="184" t="e">
        <f ca="1">MATCH(TRUE,OFFSET(INDIRECT($AQ$3),SUM($AR$4:$AR26),0),0)</f>
        <v>#N/A</v>
      </c>
      <c r="AS27" s="184" t="str">
        <f ca="1">IF(ISERROR(AR27),"",INDEX(INDIRECT(AP$3),SUM(AR$4:AR27)))</f>
        <v/>
      </c>
      <c r="AU27" s="184">
        <f ca="1">IF(OR(EXACT(SelectionTables!$T$4,ProductTable!$L$7),EXACT(SelectionTables!$T$4,"")),"",ProductTable!T30)</f>
        <v>0</v>
      </c>
      <c r="AW27" s="540" t="e">
        <f ca="1">MATCH(TRUE,OFFSET(INDIRECT(INDEX(INDIRECT(CT_STAtoANT!$A$5),MATCH(SelectionTables!$G$4,INDIRECT(CT_STAtoANT!$G$2),0),0)),0,SUM($AW$4:$AW26),1,ProductTable!$H$2-SUM($AW$4:$AW26)),0)</f>
        <v>#REF!</v>
      </c>
      <c r="AX27" s="541" t="e">
        <f ca="1">INDEX(INDIRECT(CT_STAtoANT!$G$3),1,SUM($AW$4:$AW27))</f>
        <v>#REF!</v>
      </c>
      <c r="AY27" s="541" t="b">
        <f ca="1">IF(ISERROR(MATCH(AX27,INDIRECT(ProductTable!$J$4),0)),FALSE,TRUE)</f>
        <v>0</v>
      </c>
      <c r="AZ27" s="541" t="e">
        <f ca="1">MATCH(TRUE,OFFSET(INDIRECT($AY$3),SUM($AZ$4:$AZ26),0,ProductTable!$H$2-SUM($AZ$4:$AZ26),1),0)</f>
        <v>#REF!</v>
      </c>
      <c r="BA27" s="541" t="str">
        <f ca="1">IF(ISERROR($AZ27),"",INDEX(INDIRECT($AX$3),SUM($AZ$4:$AZ27)))</f>
        <v/>
      </c>
      <c r="BB27" s="541" t="e">
        <f ca="1">MATCH(TRUE,OFFSET(INDIRECT(INDEX(INDIRECT(CT_APtoANT!$A$5),MATCH(SelectionTables!$S$4,INDIRECT(CT_APtoANT!$G$2),0),0)),0,SUM($BB$4:$BB26),1,ProductTable!$H$2-SUM($BB$4:$BB26)),0)</f>
        <v>#REF!</v>
      </c>
      <c r="BC27" s="541" t="e">
        <f ca="1">INDEX(INDIRECT(CT_APtoANT!$G$3),1,SUM($BB$4:$BB27))</f>
        <v>#REF!</v>
      </c>
      <c r="BD27" s="541" t="b">
        <f t="shared" ca="1" si="2"/>
        <v>0</v>
      </c>
      <c r="BE27" s="541" t="e">
        <f ca="1">MATCH(TRUE,OFFSET(INDIRECT($BD$3),SUM($BE$4:$BE26),0,ProductTable!$H$2-SUM($BE$4:$BE26),1),0)</f>
        <v>#REF!</v>
      </c>
      <c r="BF27" s="541" t="str">
        <f ca="1">IF(ISERROR($BE27),"",INDEX(INDIRECT($BA$3),SUM($BE$4:$BE27)))</f>
        <v/>
      </c>
      <c r="BH27" s="541" t="e">
        <f ca="1">MATCH(TRUE,OFFSET(INDIRECT(INDEX(INDIRECT(CT_APtoC1!$A$5),MATCH(SelectionTables!$S$4,INDIRECT(CT_APtoC1!$G$2),0),0)),0,SUM($BH$4:$BH26),1,ProductTable!$AG$2-SUM($BH$4:$BH26)),0)</f>
        <v>#REF!</v>
      </c>
      <c r="BI27" s="541" t="e">
        <f ca="1">INDEX(INDIRECT(CT_APtoC1!$G$3),1,SUM($BH$4:$BH27))</f>
        <v>#REF!</v>
      </c>
      <c r="BJ27" s="541" t="b">
        <f ca="1">IF(ISERROR(MATCH(BI27,INDIRECT(ProductTable!$AI$4),0)),FALSE,TRUE)</f>
        <v>0</v>
      </c>
      <c r="BK27" s="541" t="e">
        <f ca="1">MATCH(TRUE,OFFSET(INDIRECT($BJ$3),SUM($BK$4:$BK26),0,ProductTable!$AG$2-SUM($BK$4:$BK26),1),0)</f>
        <v>#N/A</v>
      </c>
      <c r="BL27" s="541" t="str">
        <f ca="1">IF(ISERROR($BK27),"",INDEX(INDIRECT($BI$3),SUM($BK$4:$BK27)))</f>
        <v/>
      </c>
    </row>
    <row r="28" spans="2:64" x14ac:dyDescent="0.25">
      <c r="B28" s="184" t="e">
        <f ca="1">MATCH(TRUE,OFFSET(INDIRECT(INDEX(INDIRECT(CT_APtoSTA!$B$4),0,MATCH(SelectionTables!$G$4,INDIRECT(CT_APtoSTA!$G$3),0))),SUM($B$4:$B27),0,ProductTable!$C$2-SUM($B$4:$B27)),0)</f>
        <v>#REF!</v>
      </c>
      <c r="C28" s="184" t="e">
        <f ca="1">INDEX(INDIRECT(CT_APtoSTA!$G$2),SUM($B$4:$B28))</f>
        <v>#REF!</v>
      </c>
      <c r="D28" s="184" t="b">
        <f ca="1">IF(ISERROR(MATCH(C28,INDIRECT(ProductTable!$E$4),0)),FALSE,TRUE)</f>
        <v>0</v>
      </c>
      <c r="E28" s="184" t="e">
        <f ca="1">MATCH(TRUE,OFFSET(INDIRECT($D$3),SUM($E$4:$E27),0,ProductTable!$C$2-SUM($E$4:$E27),1),0)</f>
        <v>#N/A</v>
      </c>
      <c r="F28" s="184" t="str">
        <f ca="1">IF(ISERROR($E28),"",INDEX(INDIRECT($C$3),SUM($E$4:$E28)))</f>
        <v/>
      </c>
      <c r="G28" s="92"/>
      <c r="H28" s="268" t="e">
        <f ca="1">MATCH(TRUE,OFFSET(INDIRECT(INDEX(INDIRECT(CT_STAtoWLAN!$A$5),MATCH(SelectionTables!$G$4,INDIRECT(CT_STAtoWLAN!$G$2),0),0)),0,SUM($H$4:$H27),1,ProductTable!$W$2-SUM($H$4:$H27)),0)</f>
        <v>#REF!</v>
      </c>
      <c r="I28" s="251" t="e">
        <f ca="1">INDEX(INDIRECT(CT_STAtoWLAN!$G$3),1,SUM($H$4:$H28))</f>
        <v>#REF!</v>
      </c>
      <c r="J28" s="268" t="e">
        <f ca="1">MATCH(TRUE,OFFSET(INDIRECT(INDEX(INDIRECT(CT_APtoWLAN!$A$5),MATCH(SelectionTables!$S$4,INDIRECT(CT_APtoWLAN!$G$2),0),0)),0,SUM($J$4:$J27),1,ProductTable!$W$2-SUM($J$4:$J27)),0)</f>
        <v>#REF!</v>
      </c>
      <c r="K28" s="251" t="e">
        <f ca="1">INDEX(INDIRECT(CT_APtoWLAN!$G$3),1,SUM($J$4:$J28))</f>
        <v>#REF!</v>
      </c>
      <c r="L28" s="268" t="b">
        <f t="shared" ca="1" si="3"/>
        <v>0</v>
      </c>
      <c r="M28" s="184" t="e">
        <f ca="1">MATCH(TRUE,OFFSET(INDIRECT(L$3),SUM(M$4:M27),0),0)</f>
        <v>#N/A</v>
      </c>
      <c r="N28" s="251" t="e">
        <f ca="1">INDEX(INDIRECT(I$3),SUM(M$4:M28))</f>
        <v>#N/A</v>
      </c>
      <c r="O28" s="184" t="b">
        <f ca="1">IF(ISERROR(MATCH(N28,INDIRECT(ProductTable!$Y$4),0)),FALSE,TRUE)</f>
        <v>0</v>
      </c>
      <c r="P28" s="184" t="e">
        <f ca="1">MATCH(TRUE,OFFSET(INDIRECT(O$3),SUM(P$4:P27),0),0)</f>
        <v>#N/A</v>
      </c>
      <c r="Q28" s="184" t="str">
        <f ca="1">IF(ISERROR(P28),"",INDEX(INDIRECT(N$3),SUM($P$4:$P28)))</f>
        <v/>
      </c>
      <c r="S28" s="134" t="e">
        <f ca="1">MATCH(TRUE,OFFSET(INDIRECT(INDEX(INDIRECT(CT_STAtoANT!$A$5),MATCH(SelectionTables!$G$4,INDIRECT(CT_STAtoANT!$G$2),0),0)),0,SUM($S$4:$S27),1,ProductTable!$H$2-SUM($S$4:$S27)),0)</f>
        <v>#REF!</v>
      </c>
      <c r="T28" s="184" t="e">
        <f ca="1">INDEX(INDIRECT(CT_STAtoANT!$G$3),1,SUM($S$4:$S28))</f>
        <v>#REF!</v>
      </c>
      <c r="U28" s="184" t="b">
        <f ca="1">IF(ISERROR(MATCH(T28,INDIRECT(ProductTable!$J$4),0)),FALSE,TRUE)</f>
        <v>0</v>
      </c>
      <c r="V28" s="184" t="e">
        <f ca="1">MATCH(TRUE,OFFSET(INDIRECT($U$3),SUM($V$4:$V27),0,ProductTable!$H$2-SUM($V$4:$V27),1),0)</f>
        <v>#REF!</v>
      </c>
      <c r="W28" s="184" t="str">
        <f ca="1">IF(ISERROR($V28),"",INDEX(INDIRECT($T$3),SUM($V$4:$V28)))</f>
        <v/>
      </c>
      <c r="Y28" s="184" t="e">
        <f ca="1">MATCH(TRUE,OFFSET(INDIRECT(INDEX(INDIRECT(CT_APtoC1!$A$5),MATCH(SelectionTables!$S$4,INDIRECT(CT_APtoC1!$G$2),0),0)),0,SUM($Y$4:$Y27),1,ProductTable!$C$2-SUM($Y$4:$Y27)),0)</f>
        <v>#REF!</v>
      </c>
      <c r="Z28" s="251" t="e">
        <f ca="1">INDEX(INDIRECT(CT_APtoC1!$G$3),1,SUM($Y$4:$Y28))</f>
        <v>#REF!</v>
      </c>
      <c r="AA28" s="184" t="e">
        <f ca="1">MATCH(TRUE,OFFSET(INDIRECT(INDEX(INDIRECT(CT_C1toANT!$B$4),0,MATCH(SelectionTables!$U$4,INDIRECT(CT_C1toANT!$G$3),0))),SUM(AA$4:AA27),0,ProductTable!$M$2-SUM(AA$4:AA27)),0)</f>
        <v>#REF!</v>
      </c>
      <c r="AB28" s="251" t="str">
        <f ca="1">IF(ISERROR(AA28),"",INDEX(INDIRECT(CT_C1toANT!$G$2),SUM(AA$4:AA28)))</f>
        <v/>
      </c>
      <c r="AC28" s="184" t="b">
        <f t="shared" ca="1" si="1"/>
        <v>0</v>
      </c>
      <c r="AD28" s="184" t="e">
        <f ca="1">MATCH(TRUE,OFFSET(INDIRECT($AC$3),SUM($AD$4:$AD27),0),0)</f>
        <v>#N/A</v>
      </c>
      <c r="AE28" s="184" t="e">
        <f ca="1">INDEX(INDIRECT($Z$3),SUM($AD$4:$AD28))</f>
        <v>#N/A</v>
      </c>
      <c r="AF28" s="184" t="b">
        <f ca="1">IF(ISERROR(MATCH(AE28,INDIRECT(ProductTable!$O$4),0)),FALSE,TRUE)</f>
        <v>0</v>
      </c>
      <c r="AG28" s="184" t="e">
        <f ca="1">MATCH(TRUE,OFFSET(INDIRECT($AF$3),SUM($AG$4:$AG27),0),0)</f>
        <v>#N/A</v>
      </c>
      <c r="AH28" s="184" t="str">
        <f ca="1">IF(ISERROR(AG28),"",INDEX(INDIRECT($AE$3),SUM($AG$4:$AG28)))</f>
        <v/>
      </c>
      <c r="AJ28" s="184" t="e">
        <f ca="1">MATCH(TRUE,OFFSET(INDIRECT(INDEX(INDIRECT(CT_SAtoC1!$A$5),MATCH(SelectionTables!$V$4,INDIRECT(CT_SAtoC1!$G$2),0),0)),0,SUM($AJ$4:$AJ27),1,ProductTable!$C$2-SUM($AJ$4:$AJ27)),0)</f>
        <v>#REF!</v>
      </c>
      <c r="AK28" s="251" t="e">
        <f ca="1">INDEX(INDIRECT(CT_SAtoC1!$G$3),1,SUM($AJ$4:$AJ28))</f>
        <v>#REF!</v>
      </c>
      <c r="AL28" s="184" t="e">
        <f ca="1">MATCH(TRUE,OFFSET(INDIRECT(INDEX(INDIRECT(CT_C1toANT!$B$4),0,MATCH(SelectionTables!$U$4,INDIRECT(CT_C1toANT!$G$3),0))),SUM(AL$4:AL27),0,ProductTable!$M$2-SUM(AL$4:AL27)),0)</f>
        <v>#REF!</v>
      </c>
      <c r="AM28" s="251" t="str">
        <f ca="1">IF(ISERROR(AL28),"",INDEX(INDIRECT(CT_C1toANT!$G$2),SUM(AL$4:AL28)))</f>
        <v/>
      </c>
      <c r="AN28" s="184" t="b">
        <f t="shared" ca="1" si="0"/>
        <v>0</v>
      </c>
      <c r="AO28" s="184" t="e">
        <f ca="1">MATCH(TRUE,OFFSET(INDIRECT(AN$3),SUM(AO$4:AO27),0),0)</f>
        <v>#N/A</v>
      </c>
      <c r="AP28" s="184" t="e">
        <f ca="1">INDEX(INDIRECT(AK$3),SUM(AO$4:AO28))</f>
        <v>#N/A</v>
      </c>
      <c r="AQ28" s="184" t="b">
        <f ca="1">IF(ISERROR(MATCH(AP28,INDIRECT(ProductTable!$AI$4),0)),FALSE,TRUE)</f>
        <v>0</v>
      </c>
      <c r="AR28" s="184" t="e">
        <f ca="1">MATCH(TRUE,OFFSET(INDIRECT($AQ$3),SUM($AR$4:$AR27),0),0)</f>
        <v>#N/A</v>
      </c>
      <c r="AS28" s="184" t="str">
        <f ca="1">IF(ISERROR(AR28),"",INDEX(INDIRECT(AP$3),SUM(AR$4:AR28)))</f>
        <v/>
      </c>
      <c r="AU28" s="184">
        <f ca="1">IF(OR(EXACT(SelectionTables!$T$4,ProductTable!$L$7),EXACT(SelectionTables!$T$4,"")),"",ProductTable!T31)</f>
        <v>0</v>
      </c>
      <c r="AW28" s="540" t="e">
        <f ca="1">MATCH(TRUE,OFFSET(INDIRECT(INDEX(INDIRECT(CT_STAtoANT!$A$5),MATCH(SelectionTables!$G$4,INDIRECT(CT_STAtoANT!$G$2),0),0)),0,SUM($AW$4:$AW27),1,ProductTable!$H$2-SUM($AW$4:$AW27)),0)</f>
        <v>#REF!</v>
      </c>
      <c r="AX28" s="541" t="e">
        <f ca="1">INDEX(INDIRECT(CT_STAtoANT!$G$3),1,SUM($AW$4:$AW28))</f>
        <v>#REF!</v>
      </c>
      <c r="AY28" s="541" t="b">
        <f ca="1">IF(ISERROR(MATCH(AX28,INDIRECT(ProductTable!$J$4),0)),FALSE,TRUE)</f>
        <v>0</v>
      </c>
      <c r="AZ28" s="541" t="e">
        <f ca="1">MATCH(TRUE,OFFSET(INDIRECT($AY$3),SUM($AZ$4:$AZ27),0,ProductTable!$H$2-SUM($AZ$4:$AZ27),1),0)</f>
        <v>#REF!</v>
      </c>
      <c r="BA28" s="541" t="str">
        <f ca="1">IF(ISERROR($AZ28),"",INDEX(INDIRECT($AX$3),SUM($AZ$4:$AZ28)))</f>
        <v/>
      </c>
      <c r="BB28" s="541" t="e">
        <f ca="1">MATCH(TRUE,OFFSET(INDIRECT(INDEX(INDIRECT(CT_APtoANT!$A$5),MATCH(SelectionTables!$S$4,INDIRECT(CT_APtoANT!$G$2),0),0)),0,SUM($BB$4:$BB27),1,ProductTable!$H$2-SUM($BB$4:$BB27)),0)</f>
        <v>#REF!</v>
      </c>
      <c r="BC28" s="541" t="e">
        <f ca="1">INDEX(INDIRECT(CT_APtoANT!$G$3),1,SUM($BB$4:$BB28))</f>
        <v>#REF!</v>
      </c>
      <c r="BD28" s="541" t="b">
        <f t="shared" ca="1" si="2"/>
        <v>0</v>
      </c>
      <c r="BE28" s="541" t="e">
        <f ca="1">MATCH(TRUE,OFFSET(INDIRECT($BD$3),SUM($BE$4:$BE27),0,ProductTable!$H$2-SUM($BE$4:$BE27),1),0)</f>
        <v>#REF!</v>
      </c>
      <c r="BF28" s="541" t="str">
        <f ca="1">IF(ISERROR($BE28),"",INDEX(INDIRECT($BA$3),SUM($BE$4:$BE28)))</f>
        <v/>
      </c>
      <c r="BH28" s="541" t="e">
        <f ca="1">MATCH(TRUE,OFFSET(INDIRECT(INDEX(INDIRECT(CT_APtoC1!$A$5),MATCH(SelectionTables!$S$4,INDIRECT(CT_APtoC1!$G$2),0),0)),0,SUM($BH$4:$BH27),1,ProductTable!$AG$2-SUM($BH$4:$BH27)),0)</f>
        <v>#REF!</v>
      </c>
      <c r="BI28" s="541" t="e">
        <f ca="1">INDEX(INDIRECT(CT_APtoC1!$G$3),1,SUM($BH$4:$BH28))</f>
        <v>#REF!</v>
      </c>
      <c r="BJ28" s="541" t="b">
        <f ca="1">IF(ISERROR(MATCH(BI28,INDIRECT(ProductTable!$AI$4),0)),FALSE,TRUE)</f>
        <v>0</v>
      </c>
      <c r="BK28" s="541" t="e">
        <f ca="1">MATCH(TRUE,OFFSET(INDIRECT($BJ$3),SUM($BK$4:$BK27),0,ProductTable!$AG$2-SUM($BK$4:$BK27),1),0)</f>
        <v>#N/A</v>
      </c>
      <c r="BL28" s="541" t="str">
        <f ca="1">IF(ISERROR($BK28),"",INDEX(INDIRECT($BI$3),SUM($BK$4:$BK28)))</f>
        <v/>
      </c>
    </row>
    <row r="29" spans="2:64" x14ac:dyDescent="0.25">
      <c r="B29" s="184" t="e">
        <f ca="1">MATCH(TRUE,OFFSET(INDIRECT(INDEX(INDIRECT(CT_APtoSTA!$B$4),0,MATCH(SelectionTables!$G$4,INDIRECT(CT_APtoSTA!$G$3),0))),SUM($B$4:$B28),0,ProductTable!$C$2-SUM($B$4:$B28)),0)</f>
        <v>#REF!</v>
      </c>
      <c r="C29" s="184" t="e">
        <f ca="1">INDEX(INDIRECT(CT_APtoSTA!$G$2),SUM($B$4:$B29))</f>
        <v>#REF!</v>
      </c>
      <c r="D29" s="184" t="b">
        <f ca="1">IF(ISERROR(MATCH(C29,INDIRECT(ProductTable!$E$4),0)),FALSE,TRUE)</f>
        <v>0</v>
      </c>
      <c r="E29" s="184" t="e">
        <f ca="1">MATCH(TRUE,OFFSET(INDIRECT($D$3),SUM($E$4:$E28),0,ProductTable!$C$2-SUM($E$4:$E28),1),0)</f>
        <v>#N/A</v>
      </c>
      <c r="F29" s="184" t="str">
        <f ca="1">IF(ISERROR($E29),"",INDEX(INDIRECT($C$3),SUM($E$4:$E29)))</f>
        <v/>
      </c>
      <c r="G29" s="92"/>
      <c r="H29" s="268" t="e">
        <f ca="1">MATCH(TRUE,OFFSET(INDIRECT(INDEX(INDIRECT(CT_STAtoWLAN!$A$5),MATCH(SelectionTables!$G$4,INDIRECT(CT_STAtoWLAN!$G$2),0),0)),0,SUM($H$4:$H28),1,ProductTable!$W$2-SUM($H$4:$H28)),0)</f>
        <v>#REF!</v>
      </c>
      <c r="I29" s="251" t="e">
        <f ca="1">INDEX(INDIRECT(CT_STAtoWLAN!$G$3),1,SUM($H$4:$H29))</f>
        <v>#REF!</v>
      </c>
      <c r="J29" s="268" t="e">
        <f ca="1">MATCH(TRUE,OFFSET(INDIRECT(INDEX(INDIRECT(CT_APtoWLAN!$A$5),MATCH(SelectionTables!$S$4,INDIRECT(CT_APtoWLAN!$G$2),0),0)),0,SUM($J$4:$J28),1,ProductTable!$W$2-SUM($J$4:$J28)),0)</f>
        <v>#REF!</v>
      </c>
      <c r="K29" s="251" t="e">
        <f ca="1">INDEX(INDIRECT(CT_APtoWLAN!$G$3),1,SUM($J$4:$J29))</f>
        <v>#REF!</v>
      </c>
      <c r="L29" s="268" t="b">
        <f t="shared" ca="1" si="3"/>
        <v>0</v>
      </c>
      <c r="M29" s="184" t="e">
        <f ca="1">MATCH(TRUE,OFFSET(INDIRECT(L$3),SUM(M$4:M28),0),0)</f>
        <v>#N/A</v>
      </c>
      <c r="N29" s="251" t="e">
        <f ca="1">INDEX(INDIRECT(I$3),SUM(M$4:M29))</f>
        <v>#N/A</v>
      </c>
      <c r="O29" s="184" t="b">
        <f ca="1">IF(ISERROR(MATCH(N29,INDIRECT(ProductTable!$Y$4),0)),FALSE,TRUE)</f>
        <v>0</v>
      </c>
      <c r="P29" s="184" t="e">
        <f ca="1">MATCH(TRUE,OFFSET(INDIRECT(O$3),SUM(P$4:P28),0),0)</f>
        <v>#N/A</v>
      </c>
      <c r="Q29" s="184" t="str">
        <f ca="1">IF(ISERROR(P29),"",INDEX(INDIRECT(N$3),SUM($P$4:$P29)))</f>
        <v/>
      </c>
      <c r="S29" s="134" t="e">
        <f ca="1">MATCH(TRUE,OFFSET(INDIRECT(INDEX(INDIRECT(CT_STAtoANT!$A$5),MATCH(SelectionTables!$G$4,INDIRECT(CT_STAtoANT!$G$2),0),0)),0,SUM($S$4:$S28),1,ProductTable!$H$2-SUM($S$4:$S28)),0)</f>
        <v>#REF!</v>
      </c>
      <c r="T29" s="184" t="e">
        <f ca="1">INDEX(INDIRECT(CT_STAtoANT!$G$3),1,SUM($S$4:$S29))</f>
        <v>#REF!</v>
      </c>
      <c r="U29" s="184" t="b">
        <f ca="1">IF(ISERROR(MATCH(T29,INDIRECT(ProductTable!$J$4),0)),FALSE,TRUE)</f>
        <v>0</v>
      </c>
      <c r="V29" s="184" t="e">
        <f ca="1">MATCH(TRUE,OFFSET(INDIRECT($U$3),SUM($V$4:$V28),0,ProductTable!$H$2-SUM($V$4:$V28),1),0)</f>
        <v>#REF!</v>
      </c>
      <c r="W29" s="184" t="str">
        <f ca="1">IF(ISERROR($V29),"",INDEX(INDIRECT($T$3),SUM($V$4:$V29)))</f>
        <v/>
      </c>
      <c r="Y29" s="184" t="e">
        <f ca="1">MATCH(TRUE,OFFSET(INDIRECT(INDEX(INDIRECT(CT_APtoC1!$A$5),MATCH(SelectionTables!$S$4,INDIRECT(CT_APtoC1!$G$2),0),0)),0,SUM($Y$4:$Y28),1,ProductTable!$C$2-SUM($Y$4:$Y28)),0)</f>
        <v>#REF!</v>
      </c>
      <c r="Z29" s="251" t="e">
        <f ca="1">INDEX(INDIRECT(CT_APtoC1!$G$3),1,SUM($Y$4:$Y29))</f>
        <v>#REF!</v>
      </c>
      <c r="AA29" s="184" t="e">
        <f ca="1">MATCH(TRUE,OFFSET(INDIRECT(INDEX(INDIRECT(CT_C1toANT!$B$4),0,MATCH(SelectionTables!$U$4,INDIRECT(CT_C1toANT!$G$3),0))),SUM(AA$4:AA28),0,ProductTable!$M$2-SUM(AA$4:AA28)),0)</f>
        <v>#REF!</v>
      </c>
      <c r="AB29" s="251" t="str">
        <f ca="1">IF(ISERROR(AA29),"",INDEX(INDIRECT(CT_C1toANT!$G$2),SUM(AA$4:AA29)))</f>
        <v/>
      </c>
      <c r="AC29" s="184" t="b">
        <f t="shared" ca="1" si="1"/>
        <v>0</v>
      </c>
      <c r="AD29" s="184" t="e">
        <f ca="1">MATCH(TRUE,OFFSET(INDIRECT($AC$3),SUM($AD$4:$AD28),0),0)</f>
        <v>#N/A</v>
      </c>
      <c r="AE29" s="184" t="e">
        <f ca="1">INDEX(INDIRECT($Z$3),SUM($AD$4:$AD29))</f>
        <v>#N/A</v>
      </c>
      <c r="AF29" s="184" t="b">
        <f ca="1">IF(ISERROR(MATCH(AE29,INDIRECT(ProductTable!$O$4),0)),FALSE,TRUE)</f>
        <v>0</v>
      </c>
      <c r="AG29" s="184" t="e">
        <f ca="1">MATCH(TRUE,OFFSET(INDIRECT($AF$3),SUM($AG$4:$AG28),0),0)</f>
        <v>#N/A</v>
      </c>
      <c r="AH29" s="184" t="str">
        <f ca="1">IF(ISERROR(AG29),"",INDEX(INDIRECT($AE$3),SUM($AG$4:$AG29)))</f>
        <v/>
      </c>
      <c r="AJ29" s="184" t="e">
        <f ca="1">MATCH(TRUE,OFFSET(INDIRECT(INDEX(INDIRECT(CT_SAtoC1!$A$5),MATCH(SelectionTables!$V$4,INDIRECT(CT_SAtoC1!$G$2),0),0)),0,SUM($AJ$4:$AJ28),1,ProductTable!$C$2-SUM($AJ$4:$AJ28)),0)</f>
        <v>#REF!</v>
      </c>
      <c r="AK29" s="251" t="e">
        <f ca="1">INDEX(INDIRECT(CT_SAtoC1!$G$3),1,SUM($AJ$4:$AJ29))</f>
        <v>#REF!</v>
      </c>
      <c r="AL29" s="184" t="e">
        <f ca="1">MATCH(TRUE,OFFSET(INDIRECT(INDEX(INDIRECT(CT_C1toANT!$B$4),0,MATCH(SelectionTables!$U$4,INDIRECT(CT_C1toANT!$G$3),0))),SUM(AL$4:AL28),0,ProductTable!$M$2-SUM(AL$4:AL28)),0)</f>
        <v>#REF!</v>
      </c>
      <c r="AM29" s="251" t="str">
        <f ca="1">IF(ISERROR(AL29),"",INDEX(INDIRECT(CT_C1toANT!$G$2),SUM(AL$4:AL29)))</f>
        <v/>
      </c>
      <c r="AN29" s="184" t="b">
        <f t="shared" ca="1" si="0"/>
        <v>0</v>
      </c>
      <c r="AO29" s="184" t="e">
        <f ca="1">MATCH(TRUE,OFFSET(INDIRECT(AN$3),SUM(AO$4:AO28),0),0)</f>
        <v>#N/A</v>
      </c>
      <c r="AP29" s="184" t="e">
        <f ca="1">INDEX(INDIRECT(AK$3),SUM(AO$4:AO29))</f>
        <v>#N/A</v>
      </c>
      <c r="AQ29" s="184" t="b">
        <f ca="1">IF(ISERROR(MATCH(AP29,INDIRECT(ProductTable!$AI$4),0)),FALSE,TRUE)</f>
        <v>0</v>
      </c>
      <c r="AR29" s="184" t="e">
        <f ca="1">MATCH(TRUE,OFFSET(INDIRECT($AQ$3),SUM($AR$4:$AR28),0),0)</f>
        <v>#N/A</v>
      </c>
      <c r="AS29" s="184" t="str">
        <f ca="1">IF(ISERROR(AR29),"",INDEX(INDIRECT(AP$3),SUM(AR$4:AR29)))</f>
        <v/>
      </c>
      <c r="AU29" s="184">
        <f ca="1">IF(OR(EXACT(SelectionTables!$T$4,ProductTable!$L$7),EXACT(SelectionTables!$T$4,"")),"",ProductTable!T32)</f>
        <v>0</v>
      </c>
      <c r="AW29" s="540" t="e">
        <f ca="1">MATCH(TRUE,OFFSET(INDIRECT(INDEX(INDIRECT(CT_STAtoANT!$A$5),MATCH(SelectionTables!$G$4,INDIRECT(CT_STAtoANT!$G$2),0),0)),0,SUM($AW$4:$AW28),1,ProductTable!$H$2-SUM($AW$4:$AW28)),0)</f>
        <v>#REF!</v>
      </c>
      <c r="AX29" s="541" t="e">
        <f ca="1">INDEX(INDIRECT(CT_STAtoANT!$G$3),1,SUM($AW$4:$AW29))</f>
        <v>#REF!</v>
      </c>
      <c r="AY29" s="541" t="b">
        <f ca="1">IF(ISERROR(MATCH(AX29,INDIRECT(ProductTable!$J$4),0)),FALSE,TRUE)</f>
        <v>0</v>
      </c>
      <c r="AZ29" s="541" t="e">
        <f ca="1">MATCH(TRUE,OFFSET(INDIRECT($AY$3),SUM($AZ$4:$AZ28),0,ProductTable!$H$2-SUM($AZ$4:$AZ28),1),0)</f>
        <v>#REF!</v>
      </c>
      <c r="BA29" s="541" t="str">
        <f ca="1">IF(ISERROR($AZ29),"",INDEX(INDIRECT($AX$3),SUM($AZ$4:$AZ29)))</f>
        <v/>
      </c>
      <c r="BB29" s="541" t="e">
        <f ca="1">MATCH(TRUE,OFFSET(INDIRECT(INDEX(INDIRECT(CT_APtoANT!$A$5),MATCH(SelectionTables!$S$4,INDIRECT(CT_APtoANT!$G$2),0),0)),0,SUM($BB$4:$BB28),1,ProductTable!$H$2-SUM($BB$4:$BB28)),0)</f>
        <v>#REF!</v>
      </c>
      <c r="BC29" s="541" t="e">
        <f ca="1">INDEX(INDIRECT(CT_APtoANT!$G$3),1,SUM($BB$4:$BB29))</f>
        <v>#REF!</v>
      </c>
      <c r="BD29" s="541" t="b">
        <f t="shared" ca="1" si="2"/>
        <v>0</v>
      </c>
      <c r="BE29" s="541" t="e">
        <f ca="1">MATCH(TRUE,OFFSET(INDIRECT($BD$3),SUM($BE$4:$BE28),0,ProductTable!$H$2-SUM($BE$4:$BE28),1),0)</f>
        <v>#REF!</v>
      </c>
      <c r="BF29" s="541" t="str">
        <f ca="1">IF(ISERROR($BE29),"",INDEX(INDIRECT($BA$3),SUM($BE$4:$BE29)))</f>
        <v/>
      </c>
      <c r="BH29" s="541" t="e">
        <f ca="1">MATCH(TRUE,OFFSET(INDIRECT(INDEX(INDIRECT(CT_APtoC1!$A$5),MATCH(SelectionTables!$S$4,INDIRECT(CT_APtoC1!$G$2),0),0)),0,SUM($BH$4:$BH28),1,ProductTable!$AG$2-SUM($BH$4:$BH28)),0)</f>
        <v>#REF!</v>
      </c>
      <c r="BI29" s="541" t="e">
        <f ca="1">INDEX(INDIRECT(CT_APtoC1!$G$3),1,SUM($BH$4:$BH29))</f>
        <v>#REF!</v>
      </c>
      <c r="BJ29" s="541" t="b">
        <f ca="1">IF(ISERROR(MATCH(BI29,INDIRECT(ProductTable!$AI$4),0)),FALSE,TRUE)</f>
        <v>0</v>
      </c>
      <c r="BK29" s="541" t="e">
        <f ca="1">MATCH(TRUE,OFFSET(INDIRECT($BJ$3),SUM($BK$4:$BK28),0,ProductTable!$AG$2-SUM($BK$4:$BK28),1),0)</f>
        <v>#N/A</v>
      </c>
      <c r="BL29" s="541" t="str">
        <f ca="1">IF(ISERROR($BK29),"",INDEX(INDIRECT($BI$3),SUM($BK$4:$BK29)))</f>
        <v/>
      </c>
    </row>
    <row r="30" spans="2:64" x14ac:dyDescent="0.25">
      <c r="B30" s="184" t="e">
        <f ca="1">MATCH(TRUE,OFFSET(INDIRECT(INDEX(INDIRECT(CT_APtoSTA!$B$4),0,MATCH(SelectionTables!$G$4,INDIRECT(CT_APtoSTA!$G$3),0))),SUM($B$4:$B29),0,ProductTable!$C$2-SUM($B$4:$B29)),0)</f>
        <v>#REF!</v>
      </c>
      <c r="C30" s="184" t="e">
        <f ca="1">INDEX(INDIRECT(CT_APtoSTA!$G$2),SUM($B$4:$B30))</f>
        <v>#REF!</v>
      </c>
      <c r="D30" s="184" t="b">
        <f ca="1">IF(ISERROR(MATCH(C30,INDIRECT(ProductTable!$E$4),0)),FALSE,TRUE)</f>
        <v>0</v>
      </c>
      <c r="E30" s="184" t="e">
        <f ca="1">MATCH(TRUE,OFFSET(INDIRECT($D$3),SUM($E$4:$E29),0,ProductTable!$C$2-SUM($E$4:$E29),1),0)</f>
        <v>#N/A</v>
      </c>
      <c r="F30" s="184" t="str">
        <f ca="1">IF(ISERROR($E30),"",INDEX(INDIRECT($C$3),SUM($E$4:$E30)))</f>
        <v/>
      </c>
      <c r="G30" s="92"/>
      <c r="H30" s="268" t="e">
        <f ca="1">MATCH(TRUE,OFFSET(INDIRECT(INDEX(INDIRECT(CT_STAtoWLAN!$A$5),MATCH(SelectionTables!$G$4,INDIRECT(CT_STAtoWLAN!$G$2),0),0)),0,SUM($H$4:$H29),1,ProductTable!$W$2-SUM($H$4:$H29)),0)</f>
        <v>#REF!</v>
      </c>
      <c r="I30" s="251" t="e">
        <f ca="1">INDEX(INDIRECT(CT_STAtoWLAN!$G$3),1,SUM($H$4:$H30))</f>
        <v>#REF!</v>
      </c>
      <c r="J30" s="268" t="e">
        <f ca="1">MATCH(TRUE,OFFSET(INDIRECT(INDEX(INDIRECT(CT_APtoWLAN!$A$5),MATCH(SelectionTables!$S$4,INDIRECT(CT_APtoWLAN!$G$2),0),0)),0,SUM($J$4:$J29),1,ProductTable!$W$2-SUM($J$4:$J29)),0)</f>
        <v>#REF!</v>
      </c>
      <c r="K30" s="251" t="e">
        <f ca="1">INDEX(INDIRECT(CT_APtoWLAN!$G$3),1,SUM($J$4:$J30))</f>
        <v>#REF!</v>
      </c>
      <c r="L30" s="268" t="b">
        <f t="shared" ca="1" si="3"/>
        <v>0</v>
      </c>
      <c r="M30" s="184" t="e">
        <f ca="1">MATCH(TRUE,OFFSET(INDIRECT(L$3),SUM(M$4:M29),0),0)</f>
        <v>#N/A</v>
      </c>
      <c r="N30" s="251" t="e">
        <f ca="1">INDEX(INDIRECT(I$3),SUM(M$4:M30))</f>
        <v>#N/A</v>
      </c>
      <c r="O30" s="184" t="b">
        <f ca="1">IF(ISERROR(MATCH(N30,INDIRECT(ProductTable!$Y$4),0)),FALSE,TRUE)</f>
        <v>0</v>
      </c>
      <c r="P30" s="184" t="e">
        <f ca="1">MATCH(TRUE,OFFSET(INDIRECT(O$3),SUM(P$4:P29),0),0)</f>
        <v>#N/A</v>
      </c>
      <c r="Q30" s="184" t="str">
        <f ca="1">IF(ISERROR(P30),"",INDEX(INDIRECT(N$3),SUM($P$4:$P30)))</f>
        <v/>
      </c>
      <c r="S30" s="134" t="e">
        <f ca="1">MATCH(TRUE,OFFSET(INDIRECT(INDEX(INDIRECT(CT_STAtoANT!$A$5),MATCH(SelectionTables!$G$4,INDIRECT(CT_STAtoANT!$G$2),0),0)),0,SUM($S$4:$S29),1,ProductTable!$H$2-SUM($S$4:$S29)),0)</f>
        <v>#REF!</v>
      </c>
      <c r="T30" s="184" t="e">
        <f ca="1">INDEX(INDIRECT(CT_STAtoANT!$G$3),1,SUM($S$4:$S30))</f>
        <v>#REF!</v>
      </c>
      <c r="U30" s="184" t="b">
        <f ca="1">IF(ISERROR(MATCH(T30,INDIRECT(ProductTable!$J$4),0)),FALSE,TRUE)</f>
        <v>0</v>
      </c>
      <c r="V30" s="184" t="e">
        <f ca="1">MATCH(TRUE,OFFSET(INDIRECT($U$3),SUM($V$4:$V29),0,ProductTable!$H$2-SUM($V$4:$V29),1),0)</f>
        <v>#REF!</v>
      </c>
      <c r="W30" s="184" t="str">
        <f ca="1">IF(ISERROR($V30),"",INDEX(INDIRECT($T$3),SUM($V$4:$V30)))</f>
        <v/>
      </c>
      <c r="Y30" s="184" t="e">
        <f ca="1">MATCH(TRUE,OFFSET(INDIRECT(INDEX(INDIRECT(CT_APtoC1!$A$5),MATCH(SelectionTables!$S$4,INDIRECT(CT_APtoC1!$G$2),0),0)),0,SUM($Y$4:$Y29),1,ProductTable!$C$2-SUM($Y$4:$Y29)),0)</f>
        <v>#REF!</v>
      </c>
      <c r="Z30" s="251" t="e">
        <f ca="1">INDEX(INDIRECT(CT_APtoC1!$G$3),1,SUM($Y$4:$Y30))</f>
        <v>#REF!</v>
      </c>
      <c r="AA30" s="184" t="e">
        <f ca="1">MATCH(TRUE,OFFSET(INDIRECT(INDEX(INDIRECT(CT_C1toANT!$B$4),0,MATCH(SelectionTables!$U$4,INDIRECT(CT_C1toANT!$G$3),0))),SUM(AA$4:AA29),0,ProductTable!$M$2-SUM(AA$4:AA29)),0)</f>
        <v>#REF!</v>
      </c>
      <c r="AB30" s="251" t="str">
        <f ca="1">IF(ISERROR(AA30),"",INDEX(INDIRECT(CT_C1toANT!$G$2),SUM(AA$4:AA30)))</f>
        <v/>
      </c>
      <c r="AC30" s="184" t="b">
        <f t="shared" ca="1" si="1"/>
        <v>0</v>
      </c>
      <c r="AD30" s="184" t="e">
        <f ca="1">MATCH(TRUE,OFFSET(INDIRECT($AC$3),SUM($AD$4:$AD29),0),0)</f>
        <v>#N/A</v>
      </c>
      <c r="AE30" s="184" t="e">
        <f ca="1">INDEX(INDIRECT($Z$3),SUM($AD$4:$AD30))</f>
        <v>#N/A</v>
      </c>
      <c r="AF30" s="184" t="b">
        <f ca="1">IF(ISERROR(MATCH(AE30,INDIRECT(ProductTable!$O$4),0)),FALSE,TRUE)</f>
        <v>0</v>
      </c>
      <c r="AG30" s="184" t="e">
        <f ca="1">MATCH(TRUE,OFFSET(INDIRECT($AF$3),SUM($AG$4:$AG29),0),0)</f>
        <v>#N/A</v>
      </c>
      <c r="AH30" s="184" t="str">
        <f ca="1">IF(ISERROR(AG30),"",INDEX(INDIRECT($AE$3),SUM($AG$4:$AG30)))</f>
        <v/>
      </c>
      <c r="AJ30" s="184" t="e">
        <f ca="1">MATCH(TRUE,OFFSET(INDIRECT(INDEX(INDIRECT(CT_SAtoC1!$A$5),MATCH(SelectionTables!$V$4,INDIRECT(CT_SAtoC1!$G$2),0),0)),0,SUM($AJ$4:$AJ29),1,ProductTable!$C$2-SUM($AJ$4:$AJ29)),0)</f>
        <v>#REF!</v>
      </c>
      <c r="AK30" s="251" t="e">
        <f ca="1">INDEX(INDIRECT(CT_SAtoC1!$G$3),1,SUM($AJ$4:$AJ30))</f>
        <v>#REF!</v>
      </c>
      <c r="AL30" s="184" t="e">
        <f ca="1">MATCH(TRUE,OFFSET(INDIRECT(INDEX(INDIRECT(CT_C1toANT!$B$4),0,MATCH(SelectionTables!$U$4,INDIRECT(CT_C1toANT!$G$3),0))),SUM(AL$4:AL29),0,ProductTable!$M$2-SUM(AL$4:AL29)),0)</f>
        <v>#REF!</v>
      </c>
      <c r="AM30" s="251" t="str">
        <f ca="1">IF(ISERROR(AL30),"",INDEX(INDIRECT(CT_C1toANT!$G$2),SUM(AL$4:AL30)))</f>
        <v/>
      </c>
      <c r="AN30" s="184" t="b">
        <f t="shared" ca="1" si="0"/>
        <v>0</v>
      </c>
      <c r="AO30" s="184" t="e">
        <f ca="1">MATCH(TRUE,OFFSET(INDIRECT(AN$3),SUM(AO$4:AO29),0),0)</f>
        <v>#N/A</v>
      </c>
      <c r="AP30" s="184" t="e">
        <f ca="1">INDEX(INDIRECT(AK$3),SUM(AO$4:AO30))</f>
        <v>#N/A</v>
      </c>
      <c r="AQ30" s="184" t="b">
        <f ca="1">IF(ISERROR(MATCH(AP30,INDIRECT(ProductTable!$AI$4),0)),FALSE,TRUE)</f>
        <v>0</v>
      </c>
      <c r="AR30" s="184" t="e">
        <f ca="1">MATCH(TRUE,OFFSET(INDIRECT($AQ$3),SUM($AR$4:$AR29),0),0)</f>
        <v>#N/A</v>
      </c>
      <c r="AS30" s="184" t="str">
        <f ca="1">IF(ISERROR(AR30),"",INDEX(INDIRECT(AP$3),SUM(AR$4:AR30)))</f>
        <v/>
      </c>
      <c r="AU30" s="184">
        <f ca="1">IF(OR(EXACT(SelectionTables!$T$4,ProductTable!$L$7),EXACT(SelectionTables!$T$4,"")),"",ProductTable!T33)</f>
        <v>0</v>
      </c>
      <c r="AW30" s="540" t="e">
        <f ca="1">MATCH(TRUE,OFFSET(INDIRECT(INDEX(INDIRECT(CT_STAtoANT!$A$5),MATCH(SelectionTables!$G$4,INDIRECT(CT_STAtoANT!$G$2),0),0)),0,SUM($AW$4:$AW29),1,ProductTable!$H$2-SUM($AW$4:$AW29)),0)</f>
        <v>#REF!</v>
      </c>
      <c r="AX30" s="541" t="e">
        <f ca="1">INDEX(INDIRECT(CT_STAtoANT!$G$3),1,SUM($AW$4:$AW30))</f>
        <v>#REF!</v>
      </c>
      <c r="AY30" s="541" t="b">
        <f ca="1">IF(ISERROR(MATCH(AX30,INDIRECT(ProductTable!$J$4),0)),FALSE,TRUE)</f>
        <v>0</v>
      </c>
      <c r="AZ30" s="541" t="e">
        <f ca="1">MATCH(TRUE,OFFSET(INDIRECT($AY$3),SUM($AZ$4:$AZ29),0,ProductTable!$H$2-SUM($AZ$4:$AZ29),1),0)</f>
        <v>#REF!</v>
      </c>
      <c r="BA30" s="541" t="str">
        <f ca="1">IF(ISERROR($AZ30),"",INDEX(INDIRECT($AX$3),SUM($AZ$4:$AZ30)))</f>
        <v/>
      </c>
      <c r="BB30" s="541" t="e">
        <f ca="1">MATCH(TRUE,OFFSET(INDIRECT(INDEX(INDIRECT(CT_APtoANT!$A$5),MATCH(SelectionTables!$S$4,INDIRECT(CT_APtoANT!$G$2),0),0)),0,SUM($BB$4:$BB29),1,ProductTable!$H$2-SUM($BB$4:$BB29)),0)</f>
        <v>#REF!</v>
      </c>
      <c r="BC30" s="541" t="e">
        <f ca="1">INDEX(INDIRECT(CT_APtoANT!$G$3),1,SUM($BB$4:$BB30))</f>
        <v>#REF!</v>
      </c>
      <c r="BD30" s="541" t="b">
        <f t="shared" ca="1" si="2"/>
        <v>0</v>
      </c>
      <c r="BE30" s="541" t="e">
        <f ca="1">MATCH(TRUE,OFFSET(INDIRECT($BD$3),SUM($BE$4:$BE29),0,ProductTable!$H$2-SUM($BE$4:$BE29),1),0)</f>
        <v>#REF!</v>
      </c>
      <c r="BF30" s="541" t="str">
        <f ca="1">IF(ISERROR($BE30),"",INDEX(INDIRECT($BA$3),SUM($BE$4:$BE30)))</f>
        <v/>
      </c>
      <c r="BH30" s="541" t="e">
        <f ca="1">MATCH(TRUE,OFFSET(INDIRECT(INDEX(INDIRECT(CT_APtoC1!$A$5),MATCH(SelectionTables!$S$4,INDIRECT(CT_APtoC1!$G$2),0),0)),0,SUM($BH$4:$BH29),1,ProductTable!$AG$2-SUM($BH$4:$BH29)),0)</f>
        <v>#REF!</v>
      </c>
      <c r="BI30" s="541" t="e">
        <f ca="1">INDEX(INDIRECT(CT_APtoC1!$G$3),1,SUM($BH$4:$BH30))</f>
        <v>#REF!</v>
      </c>
      <c r="BJ30" s="541" t="b">
        <f ca="1">IF(ISERROR(MATCH(BI30,INDIRECT(ProductTable!$AI$4),0)),FALSE,TRUE)</f>
        <v>0</v>
      </c>
      <c r="BK30" s="541" t="e">
        <f ca="1">MATCH(TRUE,OFFSET(INDIRECT($BJ$3),SUM($BK$4:$BK29),0,ProductTable!$AG$2-SUM($BK$4:$BK29),1),0)</f>
        <v>#N/A</v>
      </c>
      <c r="BL30" s="541" t="str">
        <f ca="1">IF(ISERROR($BK30),"",INDEX(INDIRECT($BI$3),SUM($BK$4:$BK30)))</f>
        <v/>
      </c>
    </row>
    <row r="31" spans="2:64" x14ac:dyDescent="0.25">
      <c r="B31" s="184" t="e">
        <f ca="1">MATCH(TRUE,OFFSET(INDIRECT(INDEX(INDIRECT(CT_APtoSTA!$B$4),0,MATCH(SelectionTables!$G$4,INDIRECT(CT_APtoSTA!$G$3),0))),SUM($B$4:$B30),0,ProductTable!$C$2-SUM($B$4:$B30)),0)</f>
        <v>#REF!</v>
      </c>
      <c r="C31" s="184" t="e">
        <f ca="1">INDEX(INDIRECT(CT_APtoSTA!$G$2),SUM($B$4:$B31))</f>
        <v>#REF!</v>
      </c>
      <c r="D31" s="184" t="b">
        <f ca="1">IF(ISERROR(MATCH(C31,INDIRECT(ProductTable!$E$4),0)),FALSE,TRUE)</f>
        <v>0</v>
      </c>
      <c r="E31" s="184" t="e">
        <f ca="1">MATCH(TRUE,OFFSET(INDIRECT($D$3),SUM($E$4:$E30),0,ProductTable!$C$2-SUM($E$4:$E30),1),0)</f>
        <v>#N/A</v>
      </c>
      <c r="F31" s="184" t="str">
        <f ca="1">IF(ISERROR($E31),"",INDEX(INDIRECT($C$3),SUM($E$4:$E31)))</f>
        <v/>
      </c>
      <c r="G31" s="92"/>
      <c r="H31" s="268" t="e">
        <f ca="1">MATCH(TRUE,OFFSET(INDIRECT(INDEX(INDIRECT(CT_STAtoWLAN!$A$5),MATCH(SelectionTables!$G$4,INDIRECT(CT_STAtoWLAN!$G$2),0),0)),0,SUM($H$4:$H30),1,ProductTable!$W$2-SUM($H$4:$H30)),0)</f>
        <v>#REF!</v>
      </c>
      <c r="I31" s="251" t="e">
        <f ca="1">INDEX(INDIRECT(CT_STAtoWLAN!$G$3),1,SUM($H$4:$H31))</f>
        <v>#REF!</v>
      </c>
      <c r="J31" s="268" t="e">
        <f ca="1">MATCH(TRUE,OFFSET(INDIRECT(INDEX(INDIRECT(CT_APtoWLAN!$A$5),MATCH(SelectionTables!$S$4,INDIRECT(CT_APtoWLAN!$G$2),0),0)),0,SUM($J$4:$J30),1,ProductTable!$W$2-SUM($J$4:$J30)),0)</f>
        <v>#REF!</v>
      </c>
      <c r="K31" s="251" t="e">
        <f ca="1">INDEX(INDIRECT(CT_APtoWLAN!$G$3),1,SUM($J$4:$J31))</f>
        <v>#REF!</v>
      </c>
      <c r="L31" s="268" t="b">
        <f t="shared" ca="1" si="3"/>
        <v>0</v>
      </c>
      <c r="M31" s="184" t="e">
        <f ca="1">MATCH(TRUE,OFFSET(INDIRECT(L$3),SUM(M$4:M30),0),0)</f>
        <v>#N/A</v>
      </c>
      <c r="N31" s="251" t="e">
        <f ca="1">INDEX(INDIRECT(I$3),SUM(M$4:M31))</f>
        <v>#N/A</v>
      </c>
      <c r="O31" s="184" t="b">
        <f ca="1">IF(ISERROR(MATCH(N31,INDIRECT(ProductTable!$Y$4),0)),FALSE,TRUE)</f>
        <v>0</v>
      </c>
      <c r="P31" s="184" t="e">
        <f ca="1">MATCH(TRUE,OFFSET(INDIRECT(O$3),SUM(P$4:P30),0),0)</f>
        <v>#N/A</v>
      </c>
      <c r="Q31" s="184" t="str">
        <f ca="1">IF(ISERROR(P31),"",INDEX(INDIRECT(N$3),SUM($P$4:$P31)))</f>
        <v/>
      </c>
      <c r="S31" s="134" t="e">
        <f ca="1">MATCH(TRUE,OFFSET(INDIRECT(INDEX(INDIRECT(CT_STAtoANT!$A$5),MATCH(SelectionTables!$G$4,INDIRECT(CT_STAtoANT!$G$2),0),0)),0,SUM($S$4:$S30),1,ProductTable!$H$2-SUM($S$4:$S30)),0)</f>
        <v>#REF!</v>
      </c>
      <c r="T31" s="184" t="e">
        <f ca="1">INDEX(INDIRECT(CT_STAtoANT!$G$3),1,SUM($S$4:$S31))</f>
        <v>#REF!</v>
      </c>
      <c r="U31" s="184" t="b">
        <f ca="1">IF(ISERROR(MATCH(T31,INDIRECT(ProductTable!$J$4),0)),FALSE,TRUE)</f>
        <v>0</v>
      </c>
      <c r="V31" s="184" t="e">
        <f ca="1">MATCH(TRUE,OFFSET(INDIRECT($U$3),SUM($V$4:$V30),0,ProductTable!$H$2-SUM($V$4:$V30),1),0)</f>
        <v>#REF!</v>
      </c>
      <c r="W31" s="184" t="str">
        <f ca="1">IF(ISERROR($V31),"",INDEX(INDIRECT($T$3),SUM($V$4:$V31)))</f>
        <v/>
      </c>
      <c r="Y31" s="184" t="e">
        <f ca="1">MATCH(TRUE,OFFSET(INDIRECT(INDEX(INDIRECT(CT_APtoC1!$A$5),MATCH(SelectionTables!$S$4,INDIRECT(CT_APtoC1!$G$2),0),0)),0,SUM($Y$4:$Y30),1,ProductTable!$C$2-SUM($Y$4:$Y30)),0)</f>
        <v>#REF!</v>
      </c>
      <c r="Z31" s="251" t="e">
        <f ca="1">INDEX(INDIRECT(CT_APtoC1!$G$3),1,SUM($Y$4:$Y31))</f>
        <v>#REF!</v>
      </c>
      <c r="AA31" s="184" t="e">
        <f ca="1">MATCH(TRUE,OFFSET(INDIRECT(INDEX(INDIRECT(CT_C1toANT!$B$4),0,MATCH(SelectionTables!$U$4,INDIRECT(CT_C1toANT!$G$3),0))),SUM(AA$4:AA30),0,ProductTable!$M$2-SUM(AA$4:AA30)),0)</f>
        <v>#REF!</v>
      </c>
      <c r="AB31" s="251" t="str">
        <f ca="1">IF(ISERROR(AA31),"",INDEX(INDIRECT(CT_C1toANT!$G$2),SUM(AA$4:AA31)))</f>
        <v/>
      </c>
      <c r="AC31" s="184" t="b">
        <f t="shared" ca="1" si="1"/>
        <v>0</v>
      </c>
      <c r="AD31" s="184" t="e">
        <f ca="1">MATCH(TRUE,OFFSET(INDIRECT($AC$3),SUM($AD$4:$AD30),0),0)</f>
        <v>#N/A</v>
      </c>
      <c r="AE31" s="184" t="e">
        <f ca="1">INDEX(INDIRECT($Z$3),SUM($AD$4:$AD31))</f>
        <v>#N/A</v>
      </c>
      <c r="AF31" s="184" t="b">
        <f ca="1">IF(ISERROR(MATCH(AE31,INDIRECT(ProductTable!$O$4),0)),FALSE,TRUE)</f>
        <v>0</v>
      </c>
      <c r="AG31" s="184" t="e">
        <f ca="1">MATCH(TRUE,OFFSET(INDIRECT($AF$3),SUM($AG$4:$AG30),0),0)</f>
        <v>#N/A</v>
      </c>
      <c r="AH31" s="184" t="str">
        <f ca="1">IF(ISERROR(AG31),"",INDEX(INDIRECT($AE$3),SUM($AG$4:$AG31)))</f>
        <v/>
      </c>
      <c r="AJ31" s="184" t="e">
        <f ca="1">MATCH(TRUE,OFFSET(INDIRECT(INDEX(INDIRECT(CT_SAtoC1!$A$5),MATCH(SelectionTables!$V$4,INDIRECT(CT_SAtoC1!$G$2),0),0)),0,SUM($AJ$4:$AJ30),1,ProductTable!$C$2-SUM($AJ$4:$AJ30)),0)</f>
        <v>#REF!</v>
      </c>
      <c r="AK31" s="251" t="e">
        <f ca="1">INDEX(INDIRECT(CT_SAtoC1!$G$3),1,SUM($AJ$4:$AJ31))</f>
        <v>#REF!</v>
      </c>
      <c r="AL31" s="184" t="e">
        <f ca="1">MATCH(TRUE,OFFSET(INDIRECT(INDEX(INDIRECT(CT_C1toANT!$B$4),0,MATCH(SelectionTables!$U$4,INDIRECT(CT_C1toANT!$G$3),0))),SUM(AL$4:AL30),0,ProductTable!$M$2-SUM(AL$4:AL30)),0)</f>
        <v>#REF!</v>
      </c>
      <c r="AM31" s="251" t="str">
        <f ca="1">IF(ISERROR(AL31),"",INDEX(INDIRECT(CT_C1toANT!$G$2),SUM(AL$4:AL31)))</f>
        <v/>
      </c>
      <c r="AN31" s="184" t="b">
        <f t="shared" ca="1" si="0"/>
        <v>0</v>
      </c>
      <c r="AO31" s="184" t="e">
        <f ca="1">MATCH(TRUE,OFFSET(INDIRECT(AN$3),SUM(AO$4:AO30),0),0)</f>
        <v>#N/A</v>
      </c>
      <c r="AP31" s="184" t="e">
        <f ca="1">INDEX(INDIRECT(AK$3),SUM(AO$4:AO31))</f>
        <v>#N/A</v>
      </c>
      <c r="AQ31" s="184" t="b">
        <f ca="1">IF(ISERROR(MATCH(AP31,INDIRECT(ProductTable!$AI$4),0)),FALSE,TRUE)</f>
        <v>0</v>
      </c>
      <c r="AR31" s="184" t="e">
        <f ca="1">MATCH(TRUE,OFFSET(INDIRECT($AQ$3),SUM($AR$4:$AR30),0),0)</f>
        <v>#N/A</v>
      </c>
      <c r="AS31" s="184" t="str">
        <f ca="1">IF(ISERROR(AR31),"",INDEX(INDIRECT(AP$3),SUM(AR$4:AR31)))</f>
        <v/>
      </c>
      <c r="AU31" s="184">
        <f ca="1">IF(OR(EXACT(SelectionTables!$T$4,ProductTable!$L$7),EXACT(SelectionTables!$T$4,"")),"",ProductTable!T34)</f>
        <v>0</v>
      </c>
      <c r="AW31" s="540" t="e">
        <f ca="1">MATCH(TRUE,OFFSET(INDIRECT(INDEX(INDIRECT(CT_STAtoANT!$A$5),MATCH(SelectionTables!$G$4,INDIRECT(CT_STAtoANT!$G$2),0),0)),0,SUM($AW$4:$AW30),1,ProductTable!$H$2-SUM($AW$4:$AW30)),0)</f>
        <v>#REF!</v>
      </c>
      <c r="AX31" s="541" t="e">
        <f ca="1">INDEX(INDIRECT(CT_STAtoANT!$G$3),1,SUM($AW$4:$AW31))</f>
        <v>#REF!</v>
      </c>
      <c r="AY31" s="541" t="b">
        <f ca="1">IF(ISERROR(MATCH(AX31,INDIRECT(ProductTable!$J$4),0)),FALSE,TRUE)</f>
        <v>0</v>
      </c>
      <c r="AZ31" s="541" t="e">
        <f ca="1">MATCH(TRUE,OFFSET(INDIRECT($AY$3),SUM($AZ$4:$AZ30),0,ProductTable!$H$2-SUM($AZ$4:$AZ30),1),0)</f>
        <v>#REF!</v>
      </c>
      <c r="BA31" s="541" t="str">
        <f ca="1">IF(ISERROR($AZ31),"",INDEX(INDIRECT($AX$3),SUM($AZ$4:$AZ31)))</f>
        <v/>
      </c>
      <c r="BB31" s="541" t="e">
        <f ca="1">MATCH(TRUE,OFFSET(INDIRECT(INDEX(INDIRECT(CT_APtoANT!$A$5),MATCH(SelectionTables!$S$4,INDIRECT(CT_APtoANT!$G$2),0),0)),0,SUM($BB$4:$BB30),1,ProductTable!$H$2-SUM($BB$4:$BB30)),0)</f>
        <v>#REF!</v>
      </c>
      <c r="BC31" s="541" t="e">
        <f ca="1">INDEX(INDIRECT(CT_APtoANT!$G$3),1,SUM($BB$4:$BB31))</f>
        <v>#REF!</v>
      </c>
      <c r="BD31" s="541" t="b">
        <f t="shared" ca="1" si="2"/>
        <v>0</v>
      </c>
      <c r="BE31" s="541" t="e">
        <f ca="1">MATCH(TRUE,OFFSET(INDIRECT($BD$3),SUM($BE$4:$BE30),0,ProductTable!$H$2-SUM($BE$4:$BE30),1),0)</f>
        <v>#REF!</v>
      </c>
      <c r="BF31" s="541" t="str">
        <f ca="1">IF(ISERROR($BE31),"",INDEX(INDIRECT($BA$3),SUM($BE$4:$BE31)))</f>
        <v/>
      </c>
      <c r="BH31" s="541" t="e">
        <f ca="1">MATCH(TRUE,OFFSET(INDIRECT(INDEX(INDIRECT(CT_APtoC1!$A$5),MATCH(SelectionTables!$S$4,INDIRECT(CT_APtoC1!$G$2),0),0)),0,SUM($BH$4:$BH30),1,ProductTable!$AG$2-SUM($BH$4:$BH30)),0)</f>
        <v>#REF!</v>
      </c>
      <c r="BI31" s="541" t="e">
        <f ca="1">INDEX(INDIRECT(CT_APtoC1!$G$3),1,SUM($BH$4:$BH31))</f>
        <v>#REF!</v>
      </c>
      <c r="BJ31" s="541" t="b">
        <f ca="1">IF(ISERROR(MATCH(BI31,INDIRECT(ProductTable!$AI$4),0)),FALSE,TRUE)</f>
        <v>0</v>
      </c>
      <c r="BK31" s="541" t="e">
        <f ca="1">MATCH(TRUE,OFFSET(INDIRECT($BJ$3),SUM($BK$4:$BK30),0,ProductTable!$AG$2-SUM($BK$4:$BK30),1),0)</f>
        <v>#N/A</v>
      </c>
      <c r="BL31" s="541" t="str">
        <f ca="1">IF(ISERROR($BK31),"",INDEX(INDIRECT($BI$3),SUM($BK$4:$BK31)))</f>
        <v/>
      </c>
    </row>
    <row r="32" spans="2:64" x14ac:dyDescent="0.25">
      <c r="B32" s="184" t="e">
        <f ca="1">MATCH(TRUE,OFFSET(INDIRECT(INDEX(INDIRECT(CT_APtoSTA!$B$4),0,MATCH(SelectionTables!$G$4,INDIRECT(CT_APtoSTA!$G$3),0))),SUM($B$4:$B31),0,ProductTable!$C$2-SUM($B$4:$B31)),0)</f>
        <v>#REF!</v>
      </c>
      <c r="C32" s="184" t="e">
        <f ca="1">INDEX(INDIRECT(CT_APtoSTA!$G$2),SUM($B$4:$B32))</f>
        <v>#REF!</v>
      </c>
      <c r="D32" s="184" t="b">
        <f ca="1">IF(ISERROR(MATCH(C32,INDIRECT(ProductTable!$E$4),0)),FALSE,TRUE)</f>
        <v>0</v>
      </c>
      <c r="E32" s="184" t="e">
        <f ca="1">MATCH(TRUE,OFFSET(INDIRECT($D$3),SUM($E$4:$E31),0,ProductTable!$C$2-SUM($E$4:$E31),1),0)</f>
        <v>#N/A</v>
      </c>
      <c r="F32" s="184" t="str">
        <f ca="1">IF(ISERROR($E32),"",INDEX(INDIRECT($C$3),SUM($E$4:$E32)))</f>
        <v/>
      </c>
      <c r="G32" s="92"/>
      <c r="H32" s="268" t="e">
        <f ca="1">MATCH(TRUE,OFFSET(INDIRECT(INDEX(INDIRECT(CT_STAtoWLAN!$A$5),MATCH(SelectionTables!$G$4,INDIRECT(CT_STAtoWLAN!$G$2),0),0)),0,SUM($H$4:$H31),1,ProductTable!$W$2-SUM($H$4:$H31)),0)</f>
        <v>#REF!</v>
      </c>
      <c r="I32" s="251" t="e">
        <f ca="1">INDEX(INDIRECT(CT_STAtoWLAN!$G$3),1,SUM($H$4:$H32))</f>
        <v>#REF!</v>
      </c>
      <c r="J32" s="268" t="e">
        <f ca="1">MATCH(TRUE,OFFSET(INDIRECT(INDEX(INDIRECT(CT_APtoWLAN!$A$5),MATCH(SelectionTables!$S$4,INDIRECT(CT_APtoWLAN!$G$2),0),0)),0,SUM($J$4:$J31),1,ProductTable!$W$2-SUM($J$4:$J31)),0)</f>
        <v>#REF!</v>
      </c>
      <c r="K32" s="251" t="e">
        <f ca="1">INDEX(INDIRECT(CT_APtoWLAN!$G$3),1,SUM($J$4:$J32))</f>
        <v>#REF!</v>
      </c>
      <c r="L32" s="268" t="b">
        <f t="shared" ca="1" si="3"/>
        <v>0</v>
      </c>
      <c r="M32" s="184" t="e">
        <f ca="1">MATCH(TRUE,OFFSET(INDIRECT(L$3),SUM(M$4:M31),0),0)</f>
        <v>#N/A</v>
      </c>
      <c r="N32" s="251" t="e">
        <f ca="1">INDEX(INDIRECT(I$3),SUM(M$4:M32))</f>
        <v>#N/A</v>
      </c>
      <c r="O32" s="184" t="b">
        <f ca="1">IF(ISERROR(MATCH(N32,INDIRECT(ProductTable!$Y$4),0)),FALSE,TRUE)</f>
        <v>0</v>
      </c>
      <c r="P32" s="184" t="e">
        <f ca="1">MATCH(TRUE,OFFSET(INDIRECT(O$3),SUM(P$4:P31),0),0)</f>
        <v>#N/A</v>
      </c>
      <c r="Q32" s="184" t="str">
        <f ca="1">IF(ISERROR(P32),"",INDEX(INDIRECT(N$3),SUM($P$4:$P32)))</f>
        <v/>
      </c>
      <c r="S32" s="134" t="e">
        <f ca="1">MATCH(TRUE,OFFSET(INDIRECT(INDEX(INDIRECT(CT_STAtoANT!$A$5),MATCH(SelectionTables!$G$4,INDIRECT(CT_STAtoANT!$G$2),0),0)),0,SUM($S$4:$S31),1,ProductTable!$H$2-SUM($S$4:$S31)),0)</f>
        <v>#REF!</v>
      </c>
      <c r="T32" s="184" t="e">
        <f ca="1">INDEX(INDIRECT(CT_STAtoANT!$G$3),1,SUM($S$4:$S32))</f>
        <v>#REF!</v>
      </c>
      <c r="U32" s="184" t="b">
        <f ca="1">IF(ISERROR(MATCH(T32,INDIRECT(ProductTable!$J$4),0)),FALSE,TRUE)</f>
        <v>0</v>
      </c>
      <c r="V32" s="184" t="e">
        <f ca="1">MATCH(TRUE,OFFSET(INDIRECT($U$3),SUM($V$4:$V31),0,ProductTable!$H$2-SUM($V$4:$V31),1),0)</f>
        <v>#REF!</v>
      </c>
      <c r="W32" s="184" t="str">
        <f ca="1">IF(ISERROR($V32),"",INDEX(INDIRECT($T$3),SUM($V$4:$V32)))</f>
        <v/>
      </c>
      <c r="Y32" s="184" t="e">
        <f ca="1">MATCH(TRUE,OFFSET(INDIRECT(INDEX(INDIRECT(CT_APtoC1!$A$5),MATCH(SelectionTables!$S$4,INDIRECT(CT_APtoC1!$G$2),0),0)),0,SUM($Y$4:$Y31),1,ProductTable!$C$2-SUM($Y$4:$Y31)),0)</f>
        <v>#REF!</v>
      </c>
      <c r="Z32" s="251" t="e">
        <f ca="1">INDEX(INDIRECT(CT_APtoC1!$G$3),1,SUM($Y$4:$Y32))</f>
        <v>#REF!</v>
      </c>
      <c r="AA32" s="184" t="e">
        <f ca="1">MATCH(TRUE,OFFSET(INDIRECT(INDEX(INDIRECT(CT_C1toANT!$B$4),0,MATCH(SelectionTables!$U$4,INDIRECT(CT_C1toANT!$G$3),0))),SUM(AA$4:AA31),0,ProductTable!$M$2-SUM(AA$4:AA31)),0)</f>
        <v>#REF!</v>
      </c>
      <c r="AB32" s="251" t="str">
        <f ca="1">IF(ISERROR(AA32),"",INDEX(INDIRECT(CT_C1toANT!$G$2),SUM(AA$4:AA32)))</f>
        <v/>
      </c>
      <c r="AC32" s="184" t="b">
        <f t="shared" ca="1" si="1"/>
        <v>0</v>
      </c>
      <c r="AD32" s="184" t="e">
        <f ca="1">MATCH(TRUE,OFFSET(INDIRECT($AC$3),SUM($AD$4:$AD31),0),0)</f>
        <v>#N/A</v>
      </c>
      <c r="AE32" s="184" t="e">
        <f ca="1">INDEX(INDIRECT($Z$3),SUM($AD$4:$AD32))</f>
        <v>#N/A</v>
      </c>
      <c r="AF32" s="184" t="b">
        <f ca="1">IF(ISERROR(MATCH(AE32,INDIRECT(ProductTable!$O$4),0)),FALSE,TRUE)</f>
        <v>0</v>
      </c>
      <c r="AG32" s="184" t="e">
        <f ca="1">MATCH(TRUE,OFFSET(INDIRECT($AF$3),SUM($AG$4:$AG31),0),0)</f>
        <v>#N/A</v>
      </c>
      <c r="AH32" s="184" t="str">
        <f ca="1">IF(ISERROR(AG32),"",INDEX(INDIRECT($AE$3),SUM($AG$4:$AG32)))</f>
        <v/>
      </c>
      <c r="AJ32" s="184" t="e">
        <f ca="1">MATCH(TRUE,OFFSET(INDIRECT(INDEX(INDIRECT(CT_SAtoC1!$A$5),MATCH(SelectionTables!$V$4,INDIRECT(CT_SAtoC1!$G$2),0),0)),0,SUM($AJ$4:$AJ31),1,ProductTable!$C$2-SUM($AJ$4:$AJ31)),0)</f>
        <v>#REF!</v>
      </c>
      <c r="AK32" s="251" t="e">
        <f ca="1">INDEX(INDIRECT(CT_SAtoC1!$G$3),1,SUM($AJ$4:$AJ32))</f>
        <v>#REF!</v>
      </c>
      <c r="AL32" s="184" t="e">
        <f ca="1">MATCH(TRUE,OFFSET(INDIRECT(INDEX(INDIRECT(CT_C1toANT!$B$4),0,MATCH(SelectionTables!$U$4,INDIRECT(CT_C1toANT!$G$3),0))),SUM(AL$4:AL31),0,ProductTable!$M$2-SUM(AL$4:AL31)),0)</f>
        <v>#REF!</v>
      </c>
      <c r="AM32" s="251" t="str">
        <f ca="1">IF(ISERROR(AL32),"",INDEX(INDIRECT(CT_C1toANT!$G$2),SUM(AL$4:AL32)))</f>
        <v/>
      </c>
      <c r="AN32" s="184" t="b">
        <f t="shared" ca="1" si="0"/>
        <v>0</v>
      </c>
      <c r="AO32" s="184" t="e">
        <f ca="1">MATCH(TRUE,OFFSET(INDIRECT(AN$3),SUM(AO$4:AO31),0),0)</f>
        <v>#N/A</v>
      </c>
      <c r="AP32" s="184" t="e">
        <f ca="1">INDEX(INDIRECT(AK$3),SUM(AO$4:AO32))</f>
        <v>#N/A</v>
      </c>
      <c r="AQ32" s="184" t="b">
        <f ca="1">IF(ISERROR(MATCH(AP32,INDIRECT(ProductTable!$AI$4),0)),FALSE,TRUE)</f>
        <v>0</v>
      </c>
      <c r="AR32" s="184" t="e">
        <f ca="1">MATCH(TRUE,OFFSET(INDIRECT($AQ$3),SUM($AR$4:$AR31),0),0)</f>
        <v>#N/A</v>
      </c>
      <c r="AS32" s="184" t="str">
        <f ca="1">IF(ISERROR(AR32),"",INDEX(INDIRECT(AP$3),SUM(AR$4:AR32)))</f>
        <v/>
      </c>
      <c r="AU32" s="184">
        <f ca="1">IF(OR(EXACT(SelectionTables!$T$4,ProductTable!$L$7),EXACT(SelectionTables!$T$4,"")),"",ProductTable!T35)</f>
        <v>0</v>
      </c>
      <c r="AW32" s="540" t="e">
        <f ca="1">MATCH(TRUE,OFFSET(INDIRECT(INDEX(INDIRECT(CT_STAtoANT!$A$5),MATCH(SelectionTables!$G$4,INDIRECT(CT_STAtoANT!$G$2),0),0)),0,SUM($AW$4:$AW31),1,ProductTable!$H$2-SUM($AW$4:$AW31)),0)</f>
        <v>#REF!</v>
      </c>
      <c r="AX32" s="541" t="e">
        <f ca="1">INDEX(INDIRECT(CT_STAtoANT!$G$3),1,SUM($AW$4:$AW32))</f>
        <v>#REF!</v>
      </c>
      <c r="AY32" s="541" t="b">
        <f ca="1">IF(ISERROR(MATCH(AX32,INDIRECT(ProductTable!$J$4),0)),FALSE,TRUE)</f>
        <v>0</v>
      </c>
      <c r="AZ32" s="541" t="e">
        <f ca="1">MATCH(TRUE,OFFSET(INDIRECT($AY$3),SUM($AZ$4:$AZ31),0,ProductTable!$H$2-SUM($AZ$4:$AZ31),1),0)</f>
        <v>#REF!</v>
      </c>
      <c r="BA32" s="541" t="str">
        <f ca="1">IF(ISERROR($AZ32),"",INDEX(INDIRECT($AX$3),SUM($AZ$4:$AZ32)))</f>
        <v/>
      </c>
      <c r="BB32" s="541" t="e">
        <f ca="1">MATCH(TRUE,OFFSET(INDIRECT(INDEX(INDIRECT(CT_APtoANT!$A$5),MATCH(SelectionTables!$S$4,INDIRECT(CT_APtoANT!$G$2),0),0)),0,SUM($BB$4:$BB31),1,ProductTable!$H$2-SUM($BB$4:$BB31)),0)</f>
        <v>#REF!</v>
      </c>
      <c r="BC32" s="541" t="e">
        <f ca="1">INDEX(INDIRECT(CT_APtoANT!$G$3),1,SUM($BB$4:$BB32))</f>
        <v>#REF!</v>
      </c>
      <c r="BD32" s="541" t="b">
        <f t="shared" ca="1" si="2"/>
        <v>0</v>
      </c>
      <c r="BE32" s="541" t="e">
        <f ca="1">MATCH(TRUE,OFFSET(INDIRECT($BD$3),SUM($BE$4:$BE31),0,ProductTable!$H$2-SUM($BE$4:$BE31),1),0)</f>
        <v>#REF!</v>
      </c>
      <c r="BF32" s="541" t="str">
        <f ca="1">IF(ISERROR($BE32),"",INDEX(INDIRECT($BA$3),SUM($BE$4:$BE32)))</f>
        <v/>
      </c>
      <c r="BH32" s="541" t="e">
        <f ca="1">MATCH(TRUE,OFFSET(INDIRECT(INDEX(INDIRECT(CT_APtoC1!$A$5),MATCH(SelectionTables!$S$4,INDIRECT(CT_APtoC1!$G$2),0),0)),0,SUM($BH$4:$BH31),1,ProductTable!$AG$2-SUM($BH$4:$BH31)),0)</f>
        <v>#REF!</v>
      </c>
      <c r="BI32" s="541" t="e">
        <f ca="1">INDEX(INDIRECT(CT_APtoC1!$G$3),1,SUM($BH$4:$BH32))</f>
        <v>#REF!</v>
      </c>
      <c r="BJ32" s="541" t="b">
        <f ca="1">IF(ISERROR(MATCH(BI32,INDIRECT(ProductTable!$AI$4),0)),FALSE,TRUE)</f>
        <v>0</v>
      </c>
      <c r="BK32" s="541" t="e">
        <f ca="1">MATCH(TRUE,OFFSET(INDIRECT($BJ$3),SUM($BK$4:$BK31),0,ProductTable!$AG$2-SUM($BK$4:$BK31),1),0)</f>
        <v>#N/A</v>
      </c>
      <c r="BL32" s="541" t="str">
        <f ca="1">IF(ISERROR($BK32),"",INDEX(INDIRECT($BI$3),SUM($BK$4:$BK32)))</f>
        <v/>
      </c>
    </row>
    <row r="33" spans="2:64" x14ac:dyDescent="0.25">
      <c r="B33" s="184" t="e">
        <f ca="1">MATCH(TRUE,OFFSET(INDIRECT(INDEX(INDIRECT(CT_APtoSTA!$B$4),0,MATCH(SelectionTables!$G$4,INDIRECT(CT_APtoSTA!$G$3),0))),SUM($B$4:$B32),0,ProductTable!$C$2-SUM($B$4:$B32)),0)</f>
        <v>#REF!</v>
      </c>
      <c r="C33" s="184" t="e">
        <f ca="1">INDEX(INDIRECT(CT_APtoSTA!$G$2),SUM($B$4:$B33))</f>
        <v>#REF!</v>
      </c>
      <c r="D33" s="184" t="b">
        <f ca="1">IF(ISERROR(MATCH(C33,INDIRECT(ProductTable!$E$4),0)),FALSE,TRUE)</f>
        <v>0</v>
      </c>
      <c r="E33" s="184" t="e">
        <f ca="1">MATCH(TRUE,OFFSET(INDIRECT($D$3),SUM($E$4:$E32),0,ProductTable!$C$2-SUM($E$4:$E32),1),0)</f>
        <v>#N/A</v>
      </c>
      <c r="F33" s="184" t="str">
        <f ca="1">IF(ISERROR($E33),"",INDEX(INDIRECT($C$3),SUM($E$4:$E33)))</f>
        <v/>
      </c>
      <c r="G33" s="92"/>
      <c r="H33" s="268" t="e">
        <f ca="1">MATCH(TRUE,OFFSET(INDIRECT(INDEX(INDIRECT(CT_STAtoWLAN!$A$5),MATCH(SelectionTables!$G$4,INDIRECT(CT_STAtoWLAN!$G$2),0),0)),0,SUM($H$4:$H32),1,ProductTable!$W$2-SUM($H$4:$H32)),0)</f>
        <v>#REF!</v>
      </c>
      <c r="I33" s="251" t="e">
        <f ca="1">INDEX(INDIRECT(CT_STAtoWLAN!$G$3),1,SUM($H$4:$H33))</f>
        <v>#REF!</v>
      </c>
      <c r="J33" s="268" t="e">
        <f ca="1">MATCH(TRUE,OFFSET(INDIRECT(INDEX(INDIRECT(CT_APtoWLAN!$A$5),MATCH(SelectionTables!$S$4,INDIRECT(CT_APtoWLAN!$G$2),0),0)),0,SUM($J$4:$J32),1,ProductTable!$W$2-SUM($J$4:$J32)),0)</f>
        <v>#REF!</v>
      </c>
      <c r="K33" s="251" t="e">
        <f ca="1">INDEX(INDIRECT(CT_APtoWLAN!$G$3),1,SUM($J$4:$J33))</f>
        <v>#REF!</v>
      </c>
      <c r="L33" s="268" t="b">
        <f t="shared" ca="1" si="3"/>
        <v>0</v>
      </c>
      <c r="M33" s="184" t="e">
        <f ca="1">MATCH(TRUE,OFFSET(INDIRECT(L$3),SUM(M$4:M32),0),0)</f>
        <v>#N/A</v>
      </c>
      <c r="N33" s="251" t="e">
        <f ca="1">INDEX(INDIRECT(I$3),SUM(M$4:M33))</f>
        <v>#N/A</v>
      </c>
      <c r="O33" s="184" t="b">
        <f ca="1">IF(ISERROR(MATCH(N33,INDIRECT(ProductTable!$Y$4),0)),FALSE,TRUE)</f>
        <v>0</v>
      </c>
      <c r="P33" s="184" t="e">
        <f ca="1">MATCH(TRUE,OFFSET(INDIRECT(O$3),SUM(P$4:P32),0),0)</f>
        <v>#N/A</v>
      </c>
      <c r="Q33" s="184" t="str">
        <f ca="1">IF(ISERROR(P33),"",INDEX(INDIRECT(N$3),SUM($P$4:$P33)))</f>
        <v/>
      </c>
      <c r="S33" s="134" t="e">
        <f ca="1">MATCH(TRUE,OFFSET(INDIRECT(INDEX(INDIRECT(CT_STAtoANT!$A$5),MATCH(SelectionTables!$G$4,INDIRECT(CT_STAtoANT!$G$2),0),0)),0,SUM($S$4:$S32),1,ProductTable!$H$2-SUM($S$4:$S32)),0)</f>
        <v>#REF!</v>
      </c>
      <c r="T33" s="184" t="e">
        <f ca="1">INDEX(INDIRECT(CT_STAtoANT!$G$3),1,SUM($S$4:$S33))</f>
        <v>#REF!</v>
      </c>
      <c r="U33" s="184" t="b">
        <f ca="1">IF(ISERROR(MATCH(T33,INDIRECT(ProductTable!$J$4),0)),FALSE,TRUE)</f>
        <v>0</v>
      </c>
      <c r="V33" s="184" t="e">
        <f ca="1">MATCH(TRUE,OFFSET(INDIRECT($U$3),SUM($V$4:$V32),0,ProductTable!$H$2-SUM($V$4:$V32),1),0)</f>
        <v>#REF!</v>
      </c>
      <c r="W33" s="184" t="str">
        <f ca="1">IF(ISERROR($V33),"",INDEX(INDIRECT($T$3),SUM($V$4:$V33)))</f>
        <v/>
      </c>
      <c r="Y33" s="184" t="e">
        <f ca="1">MATCH(TRUE,OFFSET(INDIRECT(INDEX(INDIRECT(CT_APtoC1!$A$5),MATCH(SelectionTables!$S$4,INDIRECT(CT_APtoC1!$G$2),0),0)),0,SUM($Y$4:$Y32),1,ProductTable!$C$2-SUM($Y$4:$Y32)),0)</f>
        <v>#REF!</v>
      </c>
      <c r="Z33" s="251" t="e">
        <f ca="1">INDEX(INDIRECT(CT_APtoC1!$G$3),1,SUM($Y$4:$Y33))</f>
        <v>#REF!</v>
      </c>
      <c r="AA33" s="184" t="e">
        <f ca="1">MATCH(TRUE,OFFSET(INDIRECT(INDEX(INDIRECT(CT_C1toANT!$B$4),0,MATCH(SelectionTables!$U$4,INDIRECT(CT_C1toANT!$G$3),0))),SUM(AA$4:AA32),0,ProductTable!$M$2-SUM(AA$4:AA32)),0)</f>
        <v>#REF!</v>
      </c>
      <c r="AB33" s="251" t="str">
        <f ca="1">IF(ISERROR(AA33),"",INDEX(INDIRECT(CT_C1toANT!$G$2),SUM(AA$4:AA33)))</f>
        <v/>
      </c>
      <c r="AC33" s="184" t="b">
        <f t="shared" ca="1" si="1"/>
        <v>0</v>
      </c>
      <c r="AD33" s="184" t="e">
        <f ca="1">MATCH(TRUE,OFFSET(INDIRECT($AC$3),SUM($AD$4:$AD32),0),0)</f>
        <v>#N/A</v>
      </c>
      <c r="AE33" s="184" t="e">
        <f ca="1">INDEX(INDIRECT($Z$3),SUM($AD$4:$AD33))</f>
        <v>#N/A</v>
      </c>
      <c r="AF33" s="184" t="b">
        <f ca="1">IF(ISERROR(MATCH(AE33,INDIRECT(ProductTable!$O$4),0)),FALSE,TRUE)</f>
        <v>0</v>
      </c>
      <c r="AG33" s="184" t="e">
        <f ca="1">MATCH(TRUE,OFFSET(INDIRECT($AF$3),SUM($AG$4:$AG32),0),0)</f>
        <v>#N/A</v>
      </c>
      <c r="AH33" s="184" t="str">
        <f ca="1">IF(ISERROR(AG33),"",INDEX(INDIRECT($AE$3),SUM($AG$4:$AG33)))</f>
        <v/>
      </c>
      <c r="AJ33" s="184" t="e">
        <f ca="1">MATCH(TRUE,OFFSET(INDIRECT(INDEX(INDIRECT(CT_SAtoC1!$A$5),MATCH(SelectionTables!$V$4,INDIRECT(CT_SAtoC1!$G$2),0),0)),0,SUM($AJ$4:$AJ32),1,ProductTable!$C$2-SUM($AJ$4:$AJ32)),0)</f>
        <v>#REF!</v>
      </c>
      <c r="AK33" s="251" t="e">
        <f ca="1">INDEX(INDIRECT(CT_SAtoC1!$G$3),1,SUM($AJ$4:$AJ33))</f>
        <v>#REF!</v>
      </c>
      <c r="AL33" s="184" t="e">
        <f ca="1">MATCH(TRUE,OFFSET(INDIRECT(INDEX(INDIRECT(CT_C1toANT!$B$4),0,MATCH(SelectionTables!$U$4,INDIRECT(CT_C1toANT!$G$3),0))),SUM(AL$4:AL32),0,ProductTable!$M$2-SUM(AL$4:AL32)),0)</f>
        <v>#REF!</v>
      </c>
      <c r="AM33" s="251" t="str">
        <f ca="1">IF(ISERROR(AL33),"",INDEX(INDIRECT(CT_C1toANT!$G$2),SUM(AL$4:AL33)))</f>
        <v/>
      </c>
      <c r="AN33" s="184" t="b">
        <f t="shared" ca="1" si="0"/>
        <v>0</v>
      </c>
      <c r="AO33" s="184" t="e">
        <f ca="1">MATCH(TRUE,OFFSET(INDIRECT(AN$3),SUM(AO$4:AO32),0),0)</f>
        <v>#N/A</v>
      </c>
      <c r="AP33" s="184" t="e">
        <f ca="1">INDEX(INDIRECT(AK$3),SUM(AO$4:AO33))</f>
        <v>#N/A</v>
      </c>
      <c r="AQ33" s="184" t="b">
        <f ca="1">IF(ISERROR(MATCH(AP33,INDIRECT(ProductTable!$AI$4),0)),FALSE,TRUE)</f>
        <v>0</v>
      </c>
      <c r="AR33" s="184" t="e">
        <f ca="1">MATCH(TRUE,OFFSET(INDIRECT($AQ$3),SUM($AR$4:$AR32),0),0)</f>
        <v>#N/A</v>
      </c>
      <c r="AS33" s="184" t="str">
        <f ca="1">IF(ISERROR(AR33),"",INDEX(INDIRECT(AP$3),SUM(AR$4:AR33)))</f>
        <v/>
      </c>
      <c r="AU33" s="184">
        <f ca="1">IF(OR(EXACT(SelectionTables!$T$4,ProductTable!$L$7),EXACT(SelectionTables!$T$4,"")),"",ProductTable!T36)</f>
        <v>0</v>
      </c>
      <c r="AW33" s="540" t="e">
        <f ca="1">MATCH(TRUE,OFFSET(INDIRECT(INDEX(INDIRECT(CT_STAtoANT!$A$5),MATCH(SelectionTables!$G$4,INDIRECT(CT_STAtoANT!$G$2),0),0)),0,SUM($AW$4:$AW32),1,ProductTable!$H$2-SUM($AW$4:$AW32)),0)</f>
        <v>#REF!</v>
      </c>
      <c r="AX33" s="541" t="e">
        <f ca="1">INDEX(INDIRECT(CT_STAtoANT!$G$3),1,SUM($AW$4:$AW33))</f>
        <v>#REF!</v>
      </c>
      <c r="AY33" s="541" t="b">
        <f ca="1">IF(ISERROR(MATCH(AX33,INDIRECT(ProductTable!$J$4),0)),FALSE,TRUE)</f>
        <v>0</v>
      </c>
      <c r="AZ33" s="541" t="e">
        <f ca="1">MATCH(TRUE,OFFSET(INDIRECT($AY$3),SUM($AZ$4:$AZ32),0,ProductTable!$H$2-SUM($AZ$4:$AZ32),1),0)</f>
        <v>#REF!</v>
      </c>
      <c r="BA33" s="541" t="str">
        <f ca="1">IF(ISERROR($AZ33),"",INDEX(INDIRECT($AX$3),SUM($AZ$4:$AZ33)))</f>
        <v/>
      </c>
      <c r="BB33" s="541" t="e">
        <f ca="1">MATCH(TRUE,OFFSET(INDIRECT(INDEX(INDIRECT(CT_APtoANT!$A$5),MATCH(SelectionTables!$S$4,INDIRECT(CT_APtoANT!$G$2),0),0)),0,SUM($BB$4:$BB32),1,ProductTable!$H$2-SUM($BB$4:$BB32)),0)</f>
        <v>#REF!</v>
      </c>
      <c r="BC33" s="541" t="e">
        <f ca="1">INDEX(INDIRECT(CT_APtoANT!$G$3),1,SUM($BB$4:$BB33))</f>
        <v>#REF!</v>
      </c>
      <c r="BD33" s="541" t="b">
        <f t="shared" ca="1" si="2"/>
        <v>0</v>
      </c>
      <c r="BE33" s="541" t="e">
        <f ca="1">MATCH(TRUE,OFFSET(INDIRECT($BD$3),SUM($BE$4:$BE32),0,ProductTable!$H$2-SUM($BE$4:$BE32),1),0)</f>
        <v>#REF!</v>
      </c>
      <c r="BF33" s="541" t="str">
        <f ca="1">IF(ISERROR($BE33),"",INDEX(INDIRECT($BA$3),SUM($BE$4:$BE33)))</f>
        <v/>
      </c>
      <c r="BH33" s="541" t="e">
        <f ca="1">MATCH(TRUE,OFFSET(INDIRECT(INDEX(INDIRECT(CT_APtoC1!$A$5),MATCH(SelectionTables!$S$4,INDIRECT(CT_APtoC1!$G$2),0),0)),0,SUM($BH$4:$BH32),1,ProductTable!$AG$2-SUM($BH$4:$BH32)),0)</f>
        <v>#REF!</v>
      </c>
      <c r="BI33" s="541" t="e">
        <f ca="1">INDEX(INDIRECT(CT_APtoC1!$G$3),1,SUM($BH$4:$BH33))</f>
        <v>#REF!</v>
      </c>
      <c r="BJ33" s="541" t="b">
        <f ca="1">IF(ISERROR(MATCH(BI33,INDIRECT(ProductTable!$AI$4),0)),FALSE,TRUE)</f>
        <v>0</v>
      </c>
      <c r="BK33" s="541" t="e">
        <f ca="1">MATCH(TRUE,OFFSET(INDIRECT($BJ$3),SUM($BK$4:$BK32),0,ProductTable!$AG$2-SUM($BK$4:$BK32),1),0)</f>
        <v>#N/A</v>
      </c>
      <c r="BL33" s="541" t="str">
        <f ca="1">IF(ISERROR($BK33),"",INDEX(INDIRECT($BI$3),SUM($BK$4:$BK33)))</f>
        <v/>
      </c>
    </row>
    <row r="34" spans="2:64" x14ac:dyDescent="0.25">
      <c r="B34" s="184" t="e">
        <f ca="1">MATCH(TRUE,OFFSET(INDIRECT(INDEX(INDIRECT(CT_APtoSTA!$B$4),0,MATCH(SelectionTables!$G$4,INDIRECT(CT_APtoSTA!$G$3),0))),SUM($B$4:$B33),0,ProductTable!$C$2-SUM($B$4:$B33)),0)</f>
        <v>#REF!</v>
      </c>
      <c r="C34" s="184" t="e">
        <f ca="1">INDEX(INDIRECT(CT_APtoSTA!$G$2),SUM($B$4:$B34))</f>
        <v>#REF!</v>
      </c>
      <c r="D34" s="184" t="b">
        <f ca="1">IF(ISERROR(MATCH(C34,INDIRECT(ProductTable!$E$4),0)),FALSE,TRUE)</f>
        <v>0</v>
      </c>
      <c r="E34" s="184" t="e">
        <f ca="1">MATCH(TRUE,OFFSET(INDIRECT($D$3),SUM($E$4:$E33),0,ProductTable!$C$2-SUM($E$4:$E33),1),0)</f>
        <v>#N/A</v>
      </c>
      <c r="F34" s="184" t="str">
        <f ca="1">IF(ISERROR($E34),"",INDEX(INDIRECT($C$3),SUM($E$4:$E34)))</f>
        <v/>
      </c>
      <c r="G34" s="92"/>
      <c r="H34" s="268" t="e">
        <f ca="1">MATCH(TRUE,OFFSET(INDIRECT(INDEX(INDIRECT(CT_STAtoWLAN!$A$5),MATCH(SelectionTables!$G$4,INDIRECT(CT_STAtoWLAN!$G$2),0),0)),0,SUM($H$4:$H33),1,ProductTable!$W$2-SUM($H$4:$H33)),0)</f>
        <v>#REF!</v>
      </c>
      <c r="I34" s="251" t="e">
        <f ca="1">INDEX(INDIRECT(CT_STAtoWLAN!$G$3),1,SUM($H$4:$H34))</f>
        <v>#REF!</v>
      </c>
      <c r="J34" s="268" t="e">
        <f ca="1">MATCH(TRUE,OFFSET(INDIRECT(INDEX(INDIRECT(CT_APtoWLAN!$A$5),MATCH(SelectionTables!$S$4,INDIRECT(CT_APtoWLAN!$G$2),0),0)),0,SUM($J$4:$J33),1,ProductTable!$W$2-SUM($J$4:$J33)),0)</f>
        <v>#REF!</v>
      </c>
      <c r="K34" s="251" t="e">
        <f ca="1">INDEX(INDIRECT(CT_APtoWLAN!$G$3),1,SUM($J$4:$J34))</f>
        <v>#REF!</v>
      </c>
      <c r="L34" s="268" t="b">
        <f t="shared" ca="1" si="3"/>
        <v>0</v>
      </c>
      <c r="M34" s="184" t="e">
        <f ca="1">MATCH(TRUE,OFFSET(INDIRECT(L$3),SUM(M$4:M33),0),0)</f>
        <v>#N/A</v>
      </c>
      <c r="N34" s="251" t="e">
        <f ca="1">INDEX(INDIRECT(I$3),SUM(M$4:M34))</f>
        <v>#N/A</v>
      </c>
      <c r="O34" s="184" t="b">
        <f ca="1">IF(ISERROR(MATCH(N34,INDIRECT(ProductTable!$Y$4),0)),FALSE,TRUE)</f>
        <v>0</v>
      </c>
      <c r="P34" s="184" t="e">
        <f ca="1">MATCH(TRUE,OFFSET(INDIRECT(O$3),SUM(P$4:P33),0),0)</f>
        <v>#N/A</v>
      </c>
      <c r="Q34" s="184" t="str">
        <f ca="1">IF(ISERROR(P34),"",INDEX(INDIRECT(N$3),SUM($P$4:$P34)))</f>
        <v/>
      </c>
      <c r="S34" s="134" t="e">
        <f ca="1">MATCH(TRUE,OFFSET(INDIRECT(INDEX(INDIRECT(CT_STAtoANT!$A$5),MATCH(SelectionTables!$G$4,INDIRECT(CT_STAtoANT!$G$2),0),0)),0,SUM($S$4:$S33),1,ProductTable!$H$2-SUM($S$4:$S33)),0)</f>
        <v>#REF!</v>
      </c>
      <c r="T34" s="184" t="e">
        <f ca="1">INDEX(INDIRECT(CT_STAtoANT!$G$3),1,SUM($S$4:$S34))</f>
        <v>#REF!</v>
      </c>
      <c r="U34" s="184" t="b">
        <f ca="1">IF(ISERROR(MATCH(T34,INDIRECT(ProductTable!$J$4),0)),FALSE,TRUE)</f>
        <v>0</v>
      </c>
      <c r="V34" s="184" t="e">
        <f ca="1">MATCH(TRUE,OFFSET(INDIRECT($U$3),SUM($V$4:$V33),0,ProductTable!$H$2-SUM($V$4:$V33),1),0)</f>
        <v>#REF!</v>
      </c>
      <c r="W34" s="184" t="str">
        <f ca="1">IF(ISERROR($V34),"",INDEX(INDIRECT($T$3),SUM($V$4:$V34)))</f>
        <v/>
      </c>
      <c r="Y34" s="184" t="e">
        <f ca="1">MATCH(TRUE,OFFSET(INDIRECT(INDEX(INDIRECT(CT_APtoC1!$A$5),MATCH(SelectionTables!$S$4,INDIRECT(CT_APtoC1!$G$2),0),0)),0,SUM($Y$4:$Y33),1,ProductTable!$C$2-SUM($Y$4:$Y33)),0)</f>
        <v>#REF!</v>
      </c>
      <c r="Z34" s="251" t="e">
        <f ca="1">INDEX(INDIRECT(CT_APtoC1!$G$3),1,SUM($Y$4:$Y34))</f>
        <v>#REF!</v>
      </c>
      <c r="AA34" s="184" t="e">
        <f ca="1">MATCH(TRUE,OFFSET(INDIRECT(INDEX(INDIRECT(CT_C1toANT!$B$4),0,MATCH(SelectionTables!$U$4,INDIRECT(CT_C1toANT!$G$3),0))),SUM(AA$4:AA33),0,ProductTable!$M$2-SUM(AA$4:AA33)),0)</f>
        <v>#REF!</v>
      </c>
      <c r="AB34" s="251" t="str">
        <f ca="1">IF(ISERROR(AA34),"",INDEX(INDIRECT(CT_C1toANT!$G$2),SUM(AA$4:AA34)))</f>
        <v/>
      </c>
      <c r="AC34" s="184" t="b">
        <f t="shared" ca="1" si="1"/>
        <v>0</v>
      </c>
      <c r="AD34" s="184" t="e">
        <f ca="1">MATCH(TRUE,OFFSET(INDIRECT($AC$3),SUM($AD$4:$AD33),0),0)</f>
        <v>#N/A</v>
      </c>
      <c r="AE34" s="184" t="e">
        <f ca="1">INDEX(INDIRECT($Z$3),SUM($AD$4:$AD34))</f>
        <v>#N/A</v>
      </c>
      <c r="AF34" s="184" t="b">
        <f ca="1">IF(ISERROR(MATCH(AE34,INDIRECT(ProductTable!$O$4),0)),FALSE,TRUE)</f>
        <v>0</v>
      </c>
      <c r="AG34" s="184" t="e">
        <f ca="1">MATCH(TRUE,OFFSET(INDIRECT($AF$3),SUM($AG$4:$AG33),0),0)</f>
        <v>#N/A</v>
      </c>
      <c r="AH34" s="184" t="str">
        <f ca="1">IF(ISERROR(AG34),"",INDEX(INDIRECT($AE$3),SUM($AG$4:$AG34)))</f>
        <v/>
      </c>
      <c r="AJ34" s="184" t="e">
        <f ca="1">MATCH(TRUE,OFFSET(INDIRECT(INDEX(INDIRECT(CT_SAtoC1!$A$5),MATCH(SelectionTables!$V$4,INDIRECT(CT_SAtoC1!$G$2),0),0)),0,SUM($AJ$4:$AJ33),1,ProductTable!$C$2-SUM($AJ$4:$AJ33)),0)</f>
        <v>#REF!</v>
      </c>
      <c r="AK34" s="251" t="e">
        <f ca="1">INDEX(INDIRECT(CT_SAtoC1!$G$3),1,SUM($AJ$4:$AJ34))</f>
        <v>#REF!</v>
      </c>
      <c r="AL34" s="184" t="e">
        <f ca="1">MATCH(TRUE,OFFSET(INDIRECT(INDEX(INDIRECT(CT_C1toANT!$B$4),0,MATCH(SelectionTables!$U$4,INDIRECT(CT_C1toANT!$G$3),0))),SUM(AL$4:AL33),0,ProductTable!$M$2-SUM(AL$4:AL33)),0)</f>
        <v>#REF!</v>
      </c>
      <c r="AM34" s="251" t="str">
        <f ca="1">IF(ISERROR(AL34),"",INDEX(INDIRECT(CT_C1toANT!$G$2),SUM(AL$4:AL34)))</f>
        <v/>
      </c>
      <c r="AN34" s="184" t="b">
        <f t="shared" ca="1" si="0"/>
        <v>0</v>
      </c>
      <c r="AO34" s="184" t="e">
        <f ca="1">MATCH(TRUE,OFFSET(INDIRECT(AN$3),SUM(AO$4:AO33),0),0)</f>
        <v>#N/A</v>
      </c>
      <c r="AP34" s="184" t="e">
        <f ca="1">INDEX(INDIRECT(AK$3),SUM(AO$4:AO34))</f>
        <v>#N/A</v>
      </c>
      <c r="AQ34" s="184" t="b">
        <f ca="1">IF(ISERROR(MATCH(AP34,INDIRECT(ProductTable!$AI$4),0)),FALSE,TRUE)</f>
        <v>0</v>
      </c>
      <c r="AR34" s="184" t="e">
        <f ca="1">MATCH(TRUE,OFFSET(INDIRECT($AQ$3),SUM($AR$4:$AR33),0),0)</f>
        <v>#N/A</v>
      </c>
      <c r="AS34" s="184" t="str">
        <f ca="1">IF(ISERROR(AR34),"",INDEX(INDIRECT(AP$3),SUM(AR$4:AR34)))</f>
        <v/>
      </c>
      <c r="AU34" s="184">
        <f ca="1">IF(OR(EXACT(SelectionTables!$T$4,ProductTable!$L$7),EXACT(SelectionTables!$T$4,"")),"",ProductTable!T37)</f>
        <v>0</v>
      </c>
      <c r="AW34" s="540" t="e">
        <f ca="1">MATCH(TRUE,OFFSET(INDIRECT(INDEX(INDIRECT(CT_STAtoANT!$A$5),MATCH(SelectionTables!$G$4,INDIRECT(CT_STAtoANT!$G$2),0),0)),0,SUM($AW$4:$AW33),1,ProductTable!$H$2-SUM($AW$4:$AW33)),0)</f>
        <v>#REF!</v>
      </c>
      <c r="AX34" s="541" t="e">
        <f ca="1">INDEX(INDIRECT(CT_STAtoANT!$G$3),1,SUM($AW$4:$AW34))</f>
        <v>#REF!</v>
      </c>
      <c r="AY34" s="541" t="b">
        <f ca="1">IF(ISERROR(MATCH(AX34,INDIRECT(ProductTable!$J$4),0)),FALSE,TRUE)</f>
        <v>0</v>
      </c>
      <c r="AZ34" s="541" t="e">
        <f ca="1">MATCH(TRUE,OFFSET(INDIRECT($AY$3),SUM($AZ$4:$AZ33),0,ProductTable!$H$2-SUM($AZ$4:$AZ33),1),0)</f>
        <v>#REF!</v>
      </c>
      <c r="BA34" s="541" t="str">
        <f ca="1">IF(ISERROR($AZ34),"",INDEX(INDIRECT($AX$3),SUM($AZ$4:$AZ34)))</f>
        <v/>
      </c>
      <c r="BB34" s="541" t="e">
        <f ca="1">MATCH(TRUE,OFFSET(INDIRECT(INDEX(INDIRECT(CT_APtoANT!$A$5),MATCH(SelectionTables!$S$4,INDIRECT(CT_APtoANT!$G$2),0),0)),0,SUM($BB$4:$BB33),1,ProductTable!$H$2-SUM($BB$4:$BB33)),0)</f>
        <v>#REF!</v>
      </c>
      <c r="BC34" s="541" t="e">
        <f ca="1">INDEX(INDIRECT(CT_APtoANT!$G$3),1,SUM($BB$4:$BB34))</f>
        <v>#REF!</v>
      </c>
      <c r="BD34" s="541" t="b">
        <f t="shared" ca="1" si="2"/>
        <v>0</v>
      </c>
      <c r="BE34" s="541" t="e">
        <f ca="1">MATCH(TRUE,OFFSET(INDIRECT($BD$3),SUM($BE$4:$BE33),0,ProductTable!$H$2-SUM($BE$4:$BE33),1),0)</f>
        <v>#REF!</v>
      </c>
      <c r="BF34" s="541" t="str">
        <f ca="1">IF(ISERROR($BE34),"",INDEX(INDIRECT($BA$3),SUM($BE$4:$BE34)))</f>
        <v/>
      </c>
      <c r="BH34" s="541" t="e">
        <f ca="1">MATCH(TRUE,OFFSET(INDIRECT(INDEX(INDIRECT(CT_APtoC1!$A$5),MATCH(SelectionTables!$S$4,INDIRECT(CT_APtoC1!$G$2),0),0)),0,SUM($BH$4:$BH33),1,ProductTable!$AG$2-SUM($BH$4:$BH33)),0)</f>
        <v>#REF!</v>
      </c>
      <c r="BI34" s="541" t="e">
        <f ca="1">INDEX(INDIRECT(CT_APtoC1!$G$3),1,SUM($BH$4:$BH34))</f>
        <v>#REF!</v>
      </c>
      <c r="BJ34" s="541" t="b">
        <f ca="1">IF(ISERROR(MATCH(BI34,INDIRECT(ProductTable!$AI$4),0)),FALSE,TRUE)</f>
        <v>0</v>
      </c>
      <c r="BK34" s="541" t="e">
        <f ca="1">MATCH(TRUE,OFFSET(INDIRECT($BJ$3),SUM($BK$4:$BK33),0,ProductTable!$AG$2-SUM($BK$4:$BK33),1),0)</f>
        <v>#N/A</v>
      </c>
      <c r="BL34" s="541" t="str">
        <f ca="1">IF(ISERROR($BK34),"",INDEX(INDIRECT($BI$3),SUM($BK$4:$BK34)))</f>
        <v/>
      </c>
    </row>
    <row r="35" spans="2:64" x14ac:dyDescent="0.25">
      <c r="B35" s="184" t="e">
        <f ca="1">MATCH(TRUE,OFFSET(INDIRECT(INDEX(INDIRECT(CT_APtoSTA!$B$4),0,MATCH(SelectionTables!$G$4,INDIRECT(CT_APtoSTA!$G$3),0))),SUM($B$4:$B34),0,ProductTable!$C$2-SUM($B$4:$B34)),0)</f>
        <v>#REF!</v>
      </c>
      <c r="C35" s="184" t="e">
        <f ca="1">INDEX(INDIRECT(CT_APtoSTA!$G$2),SUM($B$4:$B35))</f>
        <v>#REF!</v>
      </c>
      <c r="D35" s="184" t="b">
        <f ca="1">IF(ISERROR(MATCH(C35,INDIRECT(ProductTable!$E$4),0)),FALSE,TRUE)</f>
        <v>0</v>
      </c>
      <c r="E35" s="184" t="e">
        <f ca="1">MATCH(TRUE,OFFSET(INDIRECT($D$3),SUM($E$4:$E34),0,ProductTable!$C$2-SUM($E$4:$E34),1),0)</f>
        <v>#N/A</v>
      </c>
      <c r="F35" s="184" t="str">
        <f ca="1">IF(ISERROR($E35),"",INDEX(INDIRECT($C$3),SUM($E$4:$E35)))</f>
        <v/>
      </c>
      <c r="G35" s="92"/>
      <c r="H35" s="268" t="e">
        <f ca="1">MATCH(TRUE,OFFSET(INDIRECT(INDEX(INDIRECT(CT_STAtoWLAN!$A$5),MATCH(SelectionTables!$G$4,INDIRECT(CT_STAtoWLAN!$G$2),0),0)),0,SUM($H$4:$H34),1,ProductTable!$W$2-SUM($H$4:$H34)),0)</f>
        <v>#REF!</v>
      </c>
      <c r="I35" s="251" t="e">
        <f ca="1">INDEX(INDIRECT(CT_STAtoWLAN!$G$3),1,SUM($H$4:$H35))</f>
        <v>#REF!</v>
      </c>
      <c r="J35" s="268" t="e">
        <f ca="1">MATCH(TRUE,OFFSET(INDIRECT(INDEX(INDIRECT(CT_APtoWLAN!$A$5),MATCH(SelectionTables!$S$4,INDIRECT(CT_APtoWLAN!$G$2),0),0)),0,SUM($J$4:$J34),1,ProductTable!$W$2-SUM($J$4:$J34)),0)</f>
        <v>#REF!</v>
      </c>
      <c r="K35" s="251" t="e">
        <f ca="1">INDEX(INDIRECT(CT_APtoWLAN!$G$3),1,SUM($J$4:$J35))</f>
        <v>#REF!</v>
      </c>
      <c r="L35" s="268" t="b">
        <f t="shared" ca="1" si="3"/>
        <v>0</v>
      </c>
      <c r="M35" s="184" t="e">
        <f ca="1">MATCH(TRUE,OFFSET(INDIRECT(L$3),SUM(M$4:M34),0),0)</f>
        <v>#N/A</v>
      </c>
      <c r="N35" s="251" t="e">
        <f ca="1">INDEX(INDIRECT(I$3),SUM(M$4:M35))</f>
        <v>#N/A</v>
      </c>
      <c r="O35" s="184" t="b">
        <f ca="1">IF(ISERROR(MATCH(N35,INDIRECT(ProductTable!$Y$4),0)),FALSE,TRUE)</f>
        <v>0</v>
      </c>
      <c r="P35" s="184" t="e">
        <f ca="1">MATCH(TRUE,OFFSET(INDIRECT(O$3),SUM(P$4:P34),0),0)</f>
        <v>#N/A</v>
      </c>
      <c r="Q35" s="184" t="str">
        <f ca="1">IF(ISERROR(P35),"",INDEX(INDIRECT(N$3),SUM($P$4:$P35)))</f>
        <v/>
      </c>
      <c r="S35" s="134" t="e">
        <f ca="1">MATCH(TRUE,OFFSET(INDIRECT(INDEX(INDIRECT(CT_STAtoANT!$A$5),MATCH(SelectionTables!$G$4,INDIRECT(CT_STAtoANT!$G$2),0),0)),0,SUM($S$4:$S34),1,ProductTable!$H$2-SUM($S$4:$S34)),0)</f>
        <v>#REF!</v>
      </c>
      <c r="T35" s="184" t="e">
        <f ca="1">INDEX(INDIRECT(CT_STAtoANT!$G$3),1,SUM($S$4:$S35))</f>
        <v>#REF!</v>
      </c>
      <c r="U35" s="184" t="b">
        <f ca="1">IF(ISERROR(MATCH(T35,INDIRECT(ProductTable!$J$4),0)),FALSE,TRUE)</f>
        <v>0</v>
      </c>
      <c r="V35" s="184" t="e">
        <f ca="1">MATCH(TRUE,OFFSET(INDIRECT($U$3),SUM($V$4:$V34),0,ProductTable!$H$2-SUM($V$4:$V34),1),0)</f>
        <v>#REF!</v>
      </c>
      <c r="W35" s="184" t="str">
        <f ca="1">IF(ISERROR($V35),"",INDEX(INDIRECT($T$3),SUM($V$4:$V35)))</f>
        <v/>
      </c>
      <c r="Y35" s="184" t="e">
        <f ca="1">MATCH(TRUE,OFFSET(INDIRECT(INDEX(INDIRECT(CT_APtoC1!$A$5),MATCH(SelectionTables!$S$4,INDIRECT(CT_APtoC1!$G$2),0),0)),0,SUM($Y$4:$Y34),1,ProductTable!$C$2-SUM($Y$4:$Y34)),0)</f>
        <v>#REF!</v>
      </c>
      <c r="Z35" s="251" t="e">
        <f ca="1">INDEX(INDIRECT(CT_APtoC1!$G$3),1,SUM($Y$4:$Y35))</f>
        <v>#REF!</v>
      </c>
      <c r="AA35" s="184" t="e">
        <f ca="1">MATCH(TRUE,OFFSET(INDIRECT(INDEX(INDIRECT(CT_C1toANT!$B$4),0,MATCH(SelectionTables!$U$4,INDIRECT(CT_C1toANT!$G$3),0))),SUM(AA$4:AA34),0,ProductTable!$M$2-SUM(AA$4:AA34)),0)</f>
        <v>#REF!</v>
      </c>
      <c r="AB35" s="251" t="str">
        <f ca="1">IF(ISERROR(AA35),"",INDEX(INDIRECT(CT_C1toANT!$G$2),SUM(AA$4:AA35)))</f>
        <v/>
      </c>
      <c r="AC35" s="184" t="b">
        <f t="shared" ca="1" si="1"/>
        <v>0</v>
      </c>
      <c r="AD35" s="184" t="e">
        <f ca="1">MATCH(TRUE,OFFSET(INDIRECT($AC$3),SUM($AD$4:$AD34),0),0)</f>
        <v>#N/A</v>
      </c>
      <c r="AE35" s="184" t="e">
        <f ca="1">INDEX(INDIRECT($Z$3),SUM($AD$4:$AD35))</f>
        <v>#N/A</v>
      </c>
      <c r="AF35" s="184" t="b">
        <f ca="1">IF(ISERROR(MATCH(AE35,INDIRECT(ProductTable!$O$4),0)),FALSE,TRUE)</f>
        <v>0</v>
      </c>
      <c r="AG35" s="184" t="e">
        <f ca="1">MATCH(TRUE,OFFSET(INDIRECT($AF$3),SUM($AG$4:$AG34),0),0)</f>
        <v>#N/A</v>
      </c>
      <c r="AH35" s="184" t="str">
        <f ca="1">IF(ISERROR(AG35),"",INDEX(INDIRECT($AE$3),SUM($AG$4:$AG35)))</f>
        <v/>
      </c>
      <c r="AJ35" s="184" t="e">
        <f ca="1">MATCH(TRUE,OFFSET(INDIRECT(INDEX(INDIRECT(CT_SAtoC1!$A$5),MATCH(SelectionTables!$V$4,INDIRECT(CT_SAtoC1!$G$2),0),0)),0,SUM($AJ$4:$AJ34),1,ProductTable!$C$2-SUM($AJ$4:$AJ34)),0)</f>
        <v>#REF!</v>
      </c>
      <c r="AK35" s="251" t="e">
        <f ca="1">INDEX(INDIRECT(CT_SAtoC1!$G$3),1,SUM($AJ$4:$AJ35))</f>
        <v>#REF!</v>
      </c>
      <c r="AL35" s="184" t="e">
        <f ca="1">MATCH(TRUE,OFFSET(INDIRECT(INDEX(INDIRECT(CT_C1toANT!$B$4),0,MATCH(SelectionTables!$U$4,INDIRECT(CT_C1toANT!$G$3),0))),SUM(AL$4:AL34),0,ProductTable!$M$2-SUM(AL$4:AL34)),0)</f>
        <v>#REF!</v>
      </c>
      <c r="AM35" s="251" t="str">
        <f ca="1">IF(ISERROR(AL35),"",INDEX(INDIRECT(CT_C1toANT!$G$2),SUM(AL$4:AL35)))</f>
        <v/>
      </c>
      <c r="AN35" s="184" t="b">
        <f t="shared" ca="1" si="0"/>
        <v>0</v>
      </c>
      <c r="AO35" s="184" t="e">
        <f ca="1">MATCH(TRUE,OFFSET(INDIRECT(AN$3),SUM(AO$4:AO34),0),0)</f>
        <v>#N/A</v>
      </c>
      <c r="AP35" s="184" t="e">
        <f ca="1">INDEX(INDIRECT(AK$3),SUM(AO$4:AO35))</f>
        <v>#N/A</v>
      </c>
      <c r="AQ35" s="184" t="b">
        <f ca="1">IF(ISERROR(MATCH(AP35,INDIRECT(ProductTable!$AI$4),0)),FALSE,TRUE)</f>
        <v>0</v>
      </c>
      <c r="AR35" s="184" t="e">
        <f ca="1">MATCH(TRUE,OFFSET(INDIRECT($AQ$3),SUM($AR$4:$AR34),0),0)</f>
        <v>#N/A</v>
      </c>
      <c r="AS35" s="184" t="str">
        <f ca="1">IF(ISERROR(AR35),"",INDEX(INDIRECT(AP$3),SUM(AR$4:AR35)))</f>
        <v/>
      </c>
      <c r="AU35" s="184">
        <f ca="1">IF(OR(EXACT(SelectionTables!$T$4,ProductTable!$L$7),EXACT(SelectionTables!$T$4,"")),"",ProductTable!T38)</f>
        <v>0</v>
      </c>
      <c r="AW35" s="540" t="e">
        <f ca="1">MATCH(TRUE,OFFSET(INDIRECT(INDEX(INDIRECT(CT_STAtoANT!$A$5),MATCH(SelectionTables!$G$4,INDIRECT(CT_STAtoANT!$G$2),0),0)),0,SUM($AW$4:$AW34),1,ProductTable!$H$2-SUM($AW$4:$AW34)),0)</f>
        <v>#REF!</v>
      </c>
      <c r="AX35" s="541" t="e">
        <f ca="1">INDEX(INDIRECT(CT_STAtoANT!$G$3),1,SUM($AW$4:$AW35))</f>
        <v>#REF!</v>
      </c>
      <c r="AY35" s="541" t="b">
        <f ca="1">IF(ISERROR(MATCH(AX35,INDIRECT(ProductTable!$J$4),0)),FALSE,TRUE)</f>
        <v>0</v>
      </c>
      <c r="AZ35" s="541" t="e">
        <f ca="1">MATCH(TRUE,OFFSET(INDIRECT($AY$3),SUM($AZ$4:$AZ34),0,ProductTable!$H$2-SUM($AZ$4:$AZ34),1),0)</f>
        <v>#REF!</v>
      </c>
      <c r="BA35" s="541" t="str">
        <f ca="1">IF(ISERROR($AZ35),"",INDEX(INDIRECT($AX$3),SUM($AZ$4:$AZ35)))</f>
        <v/>
      </c>
      <c r="BB35" s="541" t="e">
        <f ca="1">MATCH(TRUE,OFFSET(INDIRECT(INDEX(INDIRECT(CT_APtoANT!$A$5),MATCH(SelectionTables!$S$4,INDIRECT(CT_APtoANT!$G$2),0),0)),0,SUM($BB$4:$BB34),1,ProductTable!$H$2-SUM($BB$4:$BB34)),0)</f>
        <v>#REF!</v>
      </c>
      <c r="BC35" s="541" t="e">
        <f ca="1">INDEX(INDIRECT(CT_APtoANT!$G$3),1,SUM($BB$4:$BB35))</f>
        <v>#REF!</v>
      </c>
      <c r="BD35" s="541" t="b">
        <f t="shared" ca="1" si="2"/>
        <v>0</v>
      </c>
      <c r="BE35" s="541" t="e">
        <f ca="1">MATCH(TRUE,OFFSET(INDIRECT($BD$3),SUM($BE$4:$BE34),0,ProductTable!$H$2-SUM($BE$4:$BE34),1),0)</f>
        <v>#REF!</v>
      </c>
      <c r="BF35" s="541" t="str">
        <f ca="1">IF(ISERROR($BE35),"",INDEX(INDIRECT($BA$3),SUM($BE$4:$BE35)))</f>
        <v/>
      </c>
      <c r="BH35" s="541" t="e">
        <f ca="1">MATCH(TRUE,OFFSET(INDIRECT(INDEX(INDIRECT(CT_APtoC1!$A$5),MATCH(SelectionTables!$S$4,INDIRECT(CT_APtoC1!$G$2),0),0)),0,SUM($BH$4:$BH34),1,ProductTable!$AG$2-SUM($BH$4:$BH34)),0)</f>
        <v>#REF!</v>
      </c>
      <c r="BI35" s="541" t="e">
        <f ca="1">INDEX(INDIRECT(CT_APtoC1!$G$3),1,SUM($BH$4:$BH35))</f>
        <v>#REF!</v>
      </c>
      <c r="BJ35" s="541" t="b">
        <f ca="1">IF(ISERROR(MATCH(BI35,INDIRECT(ProductTable!$AI$4),0)),FALSE,TRUE)</f>
        <v>0</v>
      </c>
      <c r="BK35" s="541" t="e">
        <f ca="1">MATCH(TRUE,OFFSET(INDIRECT($BJ$3),SUM($BK$4:$BK34),0,ProductTable!$AG$2-SUM($BK$4:$BK34),1),0)</f>
        <v>#N/A</v>
      </c>
      <c r="BL35" s="541" t="str">
        <f ca="1">IF(ISERROR($BK35),"",INDEX(INDIRECT($BI$3),SUM($BK$4:$BK35)))</f>
        <v/>
      </c>
    </row>
    <row r="36" spans="2:64" x14ac:dyDescent="0.25">
      <c r="B36" s="184" t="e">
        <f ca="1">MATCH(TRUE,OFFSET(INDIRECT(INDEX(INDIRECT(CT_APtoSTA!$B$4),0,MATCH(SelectionTables!$G$4,INDIRECT(CT_APtoSTA!$G$3),0))),SUM($B$4:$B35),0,ProductTable!$C$2-SUM($B$4:$B35)),0)</f>
        <v>#REF!</v>
      </c>
      <c r="C36" s="184" t="e">
        <f ca="1">INDEX(INDIRECT(CT_APtoSTA!$G$2),SUM($B$4:$B36))</f>
        <v>#REF!</v>
      </c>
      <c r="D36" s="184" t="b">
        <f ca="1">IF(ISERROR(MATCH(C36,INDIRECT(ProductTable!$E$4),0)),FALSE,TRUE)</f>
        <v>0</v>
      </c>
      <c r="E36" s="184" t="e">
        <f ca="1">MATCH(TRUE,OFFSET(INDIRECT($D$3),SUM($E$4:$E35),0,ProductTable!$C$2-SUM($E$4:$E35),1),0)</f>
        <v>#N/A</v>
      </c>
      <c r="F36" s="184" t="str">
        <f ca="1">IF(ISERROR($E36),"",INDEX(INDIRECT($C$3),SUM($E$4:$E36)))</f>
        <v/>
      </c>
      <c r="G36" s="92"/>
      <c r="H36" s="268" t="e">
        <f ca="1">MATCH(TRUE,OFFSET(INDIRECT(INDEX(INDIRECT(CT_STAtoWLAN!$A$5),MATCH(SelectionTables!$G$4,INDIRECT(CT_STAtoWLAN!$G$2),0),0)),0,SUM($H$4:$H35),1,ProductTable!$W$2-SUM($H$4:$H35)),0)</f>
        <v>#REF!</v>
      </c>
      <c r="I36" s="251" t="e">
        <f ca="1">INDEX(INDIRECT(CT_STAtoWLAN!$G$3),1,SUM($H$4:$H36))</f>
        <v>#REF!</v>
      </c>
      <c r="J36" s="268" t="e">
        <f ca="1">MATCH(TRUE,OFFSET(INDIRECT(INDEX(INDIRECT(CT_APtoWLAN!$A$5),MATCH(SelectionTables!$S$4,INDIRECT(CT_APtoWLAN!$G$2),0),0)),0,SUM($J$4:$J35),1,ProductTable!$W$2-SUM($J$4:$J35)),0)</f>
        <v>#REF!</v>
      </c>
      <c r="K36" s="251" t="e">
        <f ca="1">INDEX(INDIRECT(CT_APtoWLAN!$G$3),1,SUM($J$4:$J36))</f>
        <v>#REF!</v>
      </c>
      <c r="L36" s="268" t="b">
        <f t="shared" ca="1" si="3"/>
        <v>0</v>
      </c>
      <c r="M36" s="184" t="e">
        <f ca="1">MATCH(TRUE,OFFSET(INDIRECT(L$3),SUM(M$4:M35),0),0)</f>
        <v>#N/A</v>
      </c>
      <c r="N36" s="251" t="e">
        <f ca="1">INDEX(INDIRECT(I$3),SUM(M$4:M36))</f>
        <v>#N/A</v>
      </c>
      <c r="O36" s="184" t="b">
        <f ca="1">IF(ISERROR(MATCH(N36,INDIRECT(ProductTable!$Y$4),0)),FALSE,TRUE)</f>
        <v>0</v>
      </c>
      <c r="P36" s="184" t="e">
        <f ca="1">MATCH(TRUE,OFFSET(INDIRECT(O$3),SUM(P$4:P35),0),0)</f>
        <v>#N/A</v>
      </c>
      <c r="Q36" s="184" t="str">
        <f ca="1">IF(ISERROR(P36),"",INDEX(INDIRECT(N$3),SUM($P$4:$P36)))</f>
        <v/>
      </c>
      <c r="S36" s="134" t="e">
        <f ca="1">MATCH(TRUE,OFFSET(INDIRECT(INDEX(INDIRECT(CT_STAtoANT!$A$5),MATCH(SelectionTables!$G$4,INDIRECT(CT_STAtoANT!$G$2),0),0)),0,SUM($S$4:$S35),1,ProductTable!$H$2-SUM($S$4:$S35)),0)</f>
        <v>#REF!</v>
      </c>
      <c r="T36" s="184" t="e">
        <f ca="1">INDEX(INDIRECT(CT_STAtoANT!$G$3),1,SUM($S$4:$S36))</f>
        <v>#REF!</v>
      </c>
      <c r="U36" s="184" t="b">
        <f ca="1">IF(ISERROR(MATCH(T36,INDIRECT(ProductTable!$J$4),0)),FALSE,TRUE)</f>
        <v>0</v>
      </c>
      <c r="V36" s="184" t="e">
        <f ca="1">MATCH(TRUE,OFFSET(INDIRECT($U$3),SUM($V$4:$V35),0,ProductTable!$H$2-SUM($V$4:$V35),1),0)</f>
        <v>#REF!</v>
      </c>
      <c r="W36" s="184" t="str">
        <f ca="1">IF(ISERROR($V36),"",INDEX(INDIRECT($T$3),SUM($V$4:$V36)))</f>
        <v/>
      </c>
      <c r="Y36" s="184" t="e">
        <f ca="1">MATCH(TRUE,OFFSET(INDIRECT(INDEX(INDIRECT(CT_APtoC1!$A$5),MATCH(SelectionTables!$S$4,INDIRECT(CT_APtoC1!$G$2),0),0)),0,SUM($Y$4:$Y35),1,ProductTable!$C$2-SUM($Y$4:$Y35)),0)</f>
        <v>#REF!</v>
      </c>
      <c r="Z36" s="251" t="e">
        <f ca="1">INDEX(INDIRECT(CT_APtoC1!$G$3),1,SUM($Y$4:$Y36))</f>
        <v>#REF!</v>
      </c>
      <c r="AA36" s="184" t="e">
        <f ca="1">MATCH(TRUE,OFFSET(INDIRECT(INDEX(INDIRECT(CT_C1toANT!$B$4),0,MATCH(SelectionTables!$U$4,INDIRECT(CT_C1toANT!$G$3),0))),SUM(AA$4:AA35),0,ProductTable!$M$2-SUM(AA$4:AA35)),0)</f>
        <v>#REF!</v>
      </c>
      <c r="AB36" s="251" t="str">
        <f ca="1">IF(ISERROR(AA36),"",INDEX(INDIRECT(CT_C1toANT!$G$2),SUM(AA$4:AA36)))</f>
        <v/>
      </c>
      <c r="AC36" s="184" t="b">
        <f t="shared" ca="1" si="1"/>
        <v>0</v>
      </c>
      <c r="AD36" s="184" t="e">
        <f ca="1">MATCH(TRUE,OFFSET(INDIRECT($AC$3),SUM($AD$4:$AD35),0),0)</f>
        <v>#N/A</v>
      </c>
      <c r="AE36" s="184" t="e">
        <f ca="1">INDEX(INDIRECT($Z$3),SUM($AD$4:$AD36))</f>
        <v>#N/A</v>
      </c>
      <c r="AF36" s="184" t="b">
        <f ca="1">IF(ISERROR(MATCH(AE36,INDIRECT(ProductTable!$O$4),0)),FALSE,TRUE)</f>
        <v>0</v>
      </c>
      <c r="AG36" s="184" t="e">
        <f ca="1">MATCH(TRUE,OFFSET(INDIRECT($AF$3),SUM($AG$4:$AG35),0),0)</f>
        <v>#N/A</v>
      </c>
      <c r="AH36" s="184" t="str">
        <f ca="1">IF(ISERROR(AG36),"",INDEX(INDIRECT($AE$3),SUM($AG$4:$AG36)))</f>
        <v/>
      </c>
      <c r="AJ36" s="184" t="e">
        <f ca="1">MATCH(TRUE,OFFSET(INDIRECT(INDEX(INDIRECT(CT_SAtoC1!$A$5),MATCH(SelectionTables!$V$4,INDIRECT(CT_SAtoC1!$G$2),0),0)),0,SUM($AJ$4:$AJ35),1,ProductTable!$C$2-SUM($AJ$4:$AJ35)),0)</f>
        <v>#REF!</v>
      </c>
      <c r="AK36" s="251" t="e">
        <f ca="1">INDEX(INDIRECT(CT_SAtoC1!$G$3),1,SUM($AJ$4:$AJ36))</f>
        <v>#REF!</v>
      </c>
      <c r="AL36" s="184" t="e">
        <f ca="1">MATCH(TRUE,OFFSET(INDIRECT(INDEX(INDIRECT(CT_C1toANT!$B$4),0,MATCH(SelectionTables!$U$4,INDIRECT(CT_C1toANT!$G$3),0))),SUM(AL$4:AL35),0,ProductTable!$M$2-SUM(AL$4:AL35)),0)</f>
        <v>#REF!</v>
      </c>
      <c r="AM36" s="251" t="str">
        <f ca="1">IF(ISERROR(AL36),"",INDEX(INDIRECT(CT_C1toANT!$G$2),SUM(AL$4:AL36)))</f>
        <v/>
      </c>
      <c r="AN36" s="184" t="b">
        <f t="shared" ca="1" si="0"/>
        <v>0</v>
      </c>
      <c r="AO36" s="184" t="e">
        <f ca="1">MATCH(TRUE,OFFSET(INDIRECT(AN$3),SUM(AO$4:AO35),0),0)</f>
        <v>#N/A</v>
      </c>
      <c r="AP36" s="184" t="e">
        <f ca="1">INDEX(INDIRECT(AK$3),SUM(AO$4:AO36))</f>
        <v>#N/A</v>
      </c>
      <c r="AQ36" s="184" t="b">
        <f ca="1">IF(ISERROR(MATCH(AP36,INDIRECT(ProductTable!$AI$4),0)),FALSE,TRUE)</f>
        <v>0</v>
      </c>
      <c r="AR36" s="184" t="e">
        <f ca="1">MATCH(TRUE,OFFSET(INDIRECT($AQ$3),SUM($AR$4:$AR35),0),0)</f>
        <v>#N/A</v>
      </c>
      <c r="AS36" s="184" t="str">
        <f ca="1">IF(ISERROR(AR36),"",INDEX(INDIRECT(AP$3),SUM(AR$4:AR36)))</f>
        <v/>
      </c>
      <c r="AU36" s="184">
        <f ca="1">IF(OR(EXACT(SelectionTables!$T$4,ProductTable!$L$7),EXACT(SelectionTables!$T$4,"")),"",ProductTable!T39)</f>
        <v>0</v>
      </c>
      <c r="AW36" s="540" t="e">
        <f ca="1">MATCH(TRUE,OFFSET(INDIRECT(INDEX(INDIRECT(CT_STAtoANT!$A$5),MATCH(SelectionTables!$G$4,INDIRECT(CT_STAtoANT!$G$2),0),0)),0,SUM($AW$4:$AW35),1,ProductTable!$H$2-SUM($AW$4:$AW35)),0)</f>
        <v>#REF!</v>
      </c>
      <c r="AX36" s="541" t="e">
        <f ca="1">INDEX(INDIRECT(CT_STAtoANT!$G$3),1,SUM($AW$4:$AW36))</f>
        <v>#REF!</v>
      </c>
      <c r="AY36" s="541" t="b">
        <f ca="1">IF(ISERROR(MATCH(AX36,INDIRECT(ProductTable!$J$4),0)),FALSE,TRUE)</f>
        <v>0</v>
      </c>
      <c r="AZ36" s="541" t="e">
        <f ca="1">MATCH(TRUE,OFFSET(INDIRECT($AY$3),SUM($AZ$4:$AZ35),0,ProductTable!$H$2-SUM($AZ$4:$AZ35),1),0)</f>
        <v>#REF!</v>
      </c>
      <c r="BA36" s="541" t="str">
        <f ca="1">IF(ISERROR($AZ36),"",INDEX(INDIRECT($AX$3),SUM($AZ$4:$AZ36)))</f>
        <v/>
      </c>
      <c r="BB36" s="541" t="e">
        <f ca="1">MATCH(TRUE,OFFSET(INDIRECT(INDEX(INDIRECT(CT_APtoANT!$A$5),MATCH(SelectionTables!$S$4,INDIRECT(CT_APtoANT!$G$2),0),0)),0,SUM($BB$4:$BB35),1,ProductTable!$H$2-SUM($BB$4:$BB35)),0)</f>
        <v>#REF!</v>
      </c>
      <c r="BC36" s="541" t="e">
        <f ca="1">INDEX(INDIRECT(CT_APtoANT!$G$3),1,SUM($BB$4:$BB36))</f>
        <v>#REF!</v>
      </c>
      <c r="BD36" s="541" t="b">
        <f t="shared" ca="1" si="2"/>
        <v>0</v>
      </c>
      <c r="BE36" s="541" t="e">
        <f ca="1">MATCH(TRUE,OFFSET(INDIRECT($BD$3),SUM($BE$4:$BE35),0,ProductTable!$H$2-SUM($BE$4:$BE35),1),0)</f>
        <v>#REF!</v>
      </c>
      <c r="BF36" s="541" t="str">
        <f ca="1">IF(ISERROR($BE36),"",INDEX(INDIRECT($BA$3),SUM($BE$4:$BE36)))</f>
        <v/>
      </c>
      <c r="BH36" s="541" t="e">
        <f ca="1">MATCH(TRUE,OFFSET(INDIRECT(INDEX(INDIRECT(CT_APtoC1!$A$5),MATCH(SelectionTables!$S$4,INDIRECT(CT_APtoC1!$G$2),0),0)),0,SUM($BH$4:$BH35),1,ProductTable!$AG$2-SUM($BH$4:$BH35)),0)</f>
        <v>#REF!</v>
      </c>
      <c r="BI36" s="541" t="e">
        <f ca="1">INDEX(INDIRECT(CT_APtoC1!$G$3),1,SUM($BH$4:$BH36))</f>
        <v>#REF!</v>
      </c>
      <c r="BJ36" s="541" t="b">
        <f ca="1">IF(ISERROR(MATCH(BI36,INDIRECT(ProductTable!$AI$4),0)),FALSE,TRUE)</f>
        <v>0</v>
      </c>
      <c r="BK36" s="541" t="e">
        <f ca="1">MATCH(TRUE,OFFSET(INDIRECT($BJ$3),SUM($BK$4:$BK35),0,ProductTable!$AG$2-SUM($BK$4:$BK35),1),0)</f>
        <v>#N/A</v>
      </c>
      <c r="BL36" s="541" t="str">
        <f ca="1">IF(ISERROR($BK36),"",INDEX(INDIRECT($BI$3),SUM($BK$4:$BK36)))</f>
        <v/>
      </c>
    </row>
    <row r="37" spans="2:64" x14ac:dyDescent="0.25">
      <c r="B37" s="184" t="e">
        <f ca="1">MATCH(TRUE,OFFSET(INDIRECT(INDEX(INDIRECT(CT_APtoSTA!$B$4),0,MATCH(SelectionTables!$G$4,INDIRECT(CT_APtoSTA!$G$3),0))),SUM($B$4:$B36),0,ProductTable!$C$2-SUM($B$4:$B36)),0)</f>
        <v>#REF!</v>
      </c>
      <c r="C37" s="184" t="e">
        <f ca="1">INDEX(INDIRECT(CT_APtoSTA!$G$2),SUM($B$4:$B37))</f>
        <v>#REF!</v>
      </c>
      <c r="D37" s="184" t="b">
        <f ca="1">IF(ISERROR(MATCH(C37,INDIRECT(ProductTable!$E$4),0)),FALSE,TRUE)</f>
        <v>0</v>
      </c>
      <c r="E37" s="184" t="e">
        <f ca="1">MATCH(TRUE,OFFSET(INDIRECT($D$3),SUM($E$4:$E36),0,ProductTable!$C$2-SUM($E$4:$E36),1),0)</f>
        <v>#N/A</v>
      </c>
      <c r="F37" s="184" t="str">
        <f ca="1">IF(ISERROR($E37),"",INDEX(INDIRECT($C$3),SUM($E$4:$E37)))</f>
        <v/>
      </c>
      <c r="G37" s="92"/>
      <c r="H37" s="268" t="e">
        <f ca="1">MATCH(TRUE,OFFSET(INDIRECT(INDEX(INDIRECT(CT_STAtoWLAN!$A$5),MATCH(SelectionTables!$G$4,INDIRECT(CT_STAtoWLAN!$G$2),0),0)),0,SUM($H$4:$H36),1,ProductTable!$W$2-SUM($H$4:$H36)),0)</f>
        <v>#REF!</v>
      </c>
      <c r="I37" s="251" t="e">
        <f ca="1">INDEX(INDIRECT(CT_STAtoWLAN!$G$3),1,SUM($H$4:$H37))</f>
        <v>#REF!</v>
      </c>
      <c r="J37" s="268" t="e">
        <f ca="1">MATCH(TRUE,OFFSET(INDIRECT(INDEX(INDIRECT(CT_APtoWLAN!$A$5),MATCH(SelectionTables!$S$4,INDIRECT(CT_APtoWLAN!$G$2),0),0)),0,SUM($J$4:$J36),1,ProductTable!$W$2-SUM($J$4:$J36)),0)</f>
        <v>#REF!</v>
      </c>
      <c r="K37" s="251" t="e">
        <f ca="1">INDEX(INDIRECT(CT_APtoWLAN!$G$3),1,SUM($J$4:$J37))</f>
        <v>#REF!</v>
      </c>
      <c r="L37" s="268" t="b">
        <f t="shared" ca="1" si="3"/>
        <v>0</v>
      </c>
      <c r="M37" s="184" t="e">
        <f ca="1">MATCH(TRUE,OFFSET(INDIRECT(L$3),SUM(M$4:M36),0),0)</f>
        <v>#N/A</v>
      </c>
      <c r="N37" s="251" t="e">
        <f ca="1">INDEX(INDIRECT(I$3),SUM(M$4:M37))</f>
        <v>#N/A</v>
      </c>
      <c r="O37" s="184" t="b">
        <f ca="1">IF(ISERROR(MATCH(N37,INDIRECT(ProductTable!$Y$4),0)),FALSE,TRUE)</f>
        <v>0</v>
      </c>
      <c r="P37" s="184" t="e">
        <f ca="1">MATCH(TRUE,OFFSET(INDIRECT(O$3),SUM(P$4:P36),0),0)</f>
        <v>#N/A</v>
      </c>
      <c r="Q37" s="184" t="str">
        <f ca="1">IF(ISERROR(P37),"",INDEX(INDIRECT(N$3),SUM($P$4:$P37)))</f>
        <v/>
      </c>
      <c r="S37" s="134" t="e">
        <f ca="1">MATCH(TRUE,OFFSET(INDIRECT(INDEX(INDIRECT(CT_STAtoANT!$A$5),MATCH(SelectionTables!$G$4,INDIRECT(CT_STAtoANT!$G$2),0),0)),0,SUM($S$4:$S36),1,ProductTable!$H$2-SUM($S$4:$S36)),0)</f>
        <v>#REF!</v>
      </c>
      <c r="T37" s="184" t="e">
        <f ca="1">INDEX(INDIRECT(CT_STAtoANT!$G$3),1,SUM($S$4:$S37))</f>
        <v>#REF!</v>
      </c>
      <c r="U37" s="184" t="b">
        <f ca="1">IF(ISERROR(MATCH(T37,INDIRECT(ProductTable!$J$4),0)),FALSE,TRUE)</f>
        <v>0</v>
      </c>
      <c r="V37" s="184" t="e">
        <f ca="1">MATCH(TRUE,OFFSET(INDIRECT($U$3),SUM($V$4:$V36),0,ProductTable!$H$2-SUM($V$4:$V36),1),0)</f>
        <v>#REF!</v>
      </c>
      <c r="W37" s="184" t="str">
        <f ca="1">IF(ISERROR($V37),"",INDEX(INDIRECT($T$3),SUM($V$4:$V37)))</f>
        <v/>
      </c>
      <c r="Y37" s="184" t="e">
        <f ca="1">MATCH(TRUE,OFFSET(INDIRECT(INDEX(INDIRECT(CT_APtoC1!$A$5),MATCH(SelectionTables!$S$4,INDIRECT(CT_APtoC1!$G$2),0),0)),0,SUM($Y$4:$Y36),1,ProductTable!$C$2-SUM($Y$4:$Y36)),0)</f>
        <v>#REF!</v>
      </c>
      <c r="Z37" s="251" t="e">
        <f ca="1">INDEX(INDIRECT(CT_APtoC1!$G$3),1,SUM($Y$4:$Y37))</f>
        <v>#REF!</v>
      </c>
      <c r="AA37" s="184" t="e">
        <f ca="1">MATCH(TRUE,OFFSET(INDIRECT(INDEX(INDIRECT(CT_C1toANT!$B$4),0,MATCH(SelectionTables!$U$4,INDIRECT(CT_C1toANT!$G$3),0))),SUM(AA$4:AA36),0,ProductTable!$M$2-SUM(AA$4:AA36)),0)</f>
        <v>#REF!</v>
      </c>
      <c r="AB37" s="251" t="str">
        <f ca="1">IF(ISERROR(AA37),"",INDEX(INDIRECT(CT_C1toANT!$G$2),SUM(AA$4:AA37)))</f>
        <v/>
      </c>
      <c r="AC37" s="184" t="b">
        <f t="shared" ca="1" si="1"/>
        <v>0</v>
      </c>
      <c r="AD37" s="184" t="e">
        <f ca="1">MATCH(TRUE,OFFSET(INDIRECT($AC$3),SUM($AD$4:$AD36),0),0)</f>
        <v>#N/A</v>
      </c>
      <c r="AE37" s="184" t="e">
        <f ca="1">INDEX(INDIRECT($Z$3),SUM($AD$4:$AD37))</f>
        <v>#N/A</v>
      </c>
      <c r="AF37" s="184" t="b">
        <f ca="1">IF(ISERROR(MATCH(AE37,INDIRECT(ProductTable!$O$4),0)),FALSE,TRUE)</f>
        <v>0</v>
      </c>
      <c r="AG37" s="184" t="e">
        <f ca="1">MATCH(TRUE,OFFSET(INDIRECT($AF$3),SUM($AG$4:$AG36),0),0)</f>
        <v>#N/A</v>
      </c>
      <c r="AH37" s="184" t="str">
        <f ca="1">IF(ISERROR(AG37),"",INDEX(INDIRECT($AE$3),SUM($AG$4:$AG37)))</f>
        <v/>
      </c>
      <c r="AJ37" s="184" t="e">
        <f ca="1">MATCH(TRUE,OFFSET(INDIRECT(INDEX(INDIRECT(CT_SAtoC1!$A$5),MATCH(SelectionTables!$V$4,INDIRECT(CT_SAtoC1!$G$2),0),0)),0,SUM($AJ$4:$AJ36),1,ProductTable!$C$2-SUM($AJ$4:$AJ36)),0)</f>
        <v>#REF!</v>
      </c>
      <c r="AK37" s="251" t="e">
        <f ca="1">INDEX(INDIRECT(CT_SAtoC1!$G$3),1,SUM($AJ$4:$AJ37))</f>
        <v>#REF!</v>
      </c>
      <c r="AL37" s="184" t="e">
        <f ca="1">MATCH(TRUE,OFFSET(INDIRECT(INDEX(INDIRECT(CT_C1toANT!$B$4),0,MATCH(SelectionTables!$U$4,INDIRECT(CT_C1toANT!$G$3),0))),SUM(AL$4:AL36),0,ProductTable!$M$2-SUM(AL$4:AL36)),0)</f>
        <v>#REF!</v>
      </c>
      <c r="AM37" s="251" t="str">
        <f ca="1">IF(ISERROR(AL37),"",INDEX(INDIRECT(CT_C1toANT!$G$2),SUM(AL$4:AL37)))</f>
        <v/>
      </c>
      <c r="AN37" s="184" t="b">
        <f t="shared" ca="1" si="0"/>
        <v>0</v>
      </c>
      <c r="AO37" s="184" t="e">
        <f ca="1">MATCH(TRUE,OFFSET(INDIRECT(AN$3),SUM(AO$4:AO36),0),0)</f>
        <v>#N/A</v>
      </c>
      <c r="AP37" s="184" t="e">
        <f ca="1">INDEX(INDIRECT(AK$3),SUM(AO$4:AO37))</f>
        <v>#N/A</v>
      </c>
      <c r="AQ37" s="184" t="b">
        <f ca="1">IF(ISERROR(MATCH(AP37,INDIRECT(ProductTable!$AI$4),0)),FALSE,TRUE)</f>
        <v>0</v>
      </c>
      <c r="AR37" s="184" t="e">
        <f ca="1">MATCH(TRUE,OFFSET(INDIRECT($AQ$3),SUM($AR$4:$AR36),0),0)</f>
        <v>#N/A</v>
      </c>
      <c r="AS37" s="184" t="str">
        <f ca="1">IF(ISERROR(AR37),"",INDEX(INDIRECT(AP$3),SUM(AR$4:AR37)))</f>
        <v/>
      </c>
      <c r="AU37" s="184">
        <f ca="1">IF(OR(EXACT(SelectionTables!$T$4,ProductTable!$L$7),EXACT(SelectionTables!$T$4,"")),"",ProductTable!T40)</f>
        <v>0</v>
      </c>
      <c r="AW37" s="540" t="e">
        <f ca="1">MATCH(TRUE,OFFSET(INDIRECT(INDEX(INDIRECT(CT_STAtoANT!$A$5),MATCH(SelectionTables!$G$4,INDIRECT(CT_STAtoANT!$G$2),0),0)),0,SUM($AW$4:$AW36),1,ProductTable!$H$2-SUM($AW$4:$AW36)),0)</f>
        <v>#REF!</v>
      </c>
      <c r="AX37" s="541" t="e">
        <f ca="1">INDEX(INDIRECT(CT_STAtoANT!$G$3),1,SUM($AW$4:$AW37))</f>
        <v>#REF!</v>
      </c>
      <c r="AY37" s="541" t="b">
        <f ca="1">IF(ISERROR(MATCH(AX37,INDIRECT(ProductTable!$J$4),0)),FALSE,TRUE)</f>
        <v>0</v>
      </c>
      <c r="AZ37" s="541" t="e">
        <f ca="1">MATCH(TRUE,OFFSET(INDIRECT($AY$3),SUM($AZ$4:$AZ36),0,ProductTable!$H$2-SUM($AZ$4:$AZ36),1),0)</f>
        <v>#REF!</v>
      </c>
      <c r="BA37" s="541" t="str">
        <f ca="1">IF(ISERROR($AZ37),"",INDEX(INDIRECT($AX$3),SUM($AZ$4:$AZ37)))</f>
        <v/>
      </c>
      <c r="BB37" s="541" t="e">
        <f ca="1">MATCH(TRUE,OFFSET(INDIRECT(INDEX(INDIRECT(CT_APtoANT!$A$5),MATCH(SelectionTables!$S$4,INDIRECT(CT_APtoANT!$G$2),0),0)),0,SUM($BB$4:$BB36),1,ProductTable!$H$2-SUM($BB$4:$BB36)),0)</f>
        <v>#REF!</v>
      </c>
      <c r="BC37" s="541" t="e">
        <f ca="1">INDEX(INDIRECT(CT_APtoANT!$G$3),1,SUM($BB$4:$BB37))</f>
        <v>#REF!</v>
      </c>
      <c r="BD37" s="541" t="b">
        <f t="shared" ca="1" si="2"/>
        <v>0</v>
      </c>
      <c r="BE37" s="541" t="e">
        <f ca="1">MATCH(TRUE,OFFSET(INDIRECT($BD$3),SUM($BE$4:$BE36),0,ProductTable!$H$2-SUM($BE$4:$BE36),1),0)</f>
        <v>#REF!</v>
      </c>
      <c r="BF37" s="541" t="str">
        <f ca="1">IF(ISERROR($BE37),"",INDEX(INDIRECT($BA$3),SUM($BE$4:$BE37)))</f>
        <v/>
      </c>
      <c r="BH37" s="541" t="e">
        <f ca="1">MATCH(TRUE,OFFSET(INDIRECT(INDEX(INDIRECT(CT_APtoC1!$A$5),MATCH(SelectionTables!$S$4,INDIRECT(CT_APtoC1!$G$2),0),0)),0,SUM($BH$4:$BH36),1,ProductTable!$AG$2-SUM($BH$4:$BH36)),0)</f>
        <v>#REF!</v>
      </c>
      <c r="BI37" s="541" t="e">
        <f ca="1">INDEX(INDIRECT(CT_APtoC1!$G$3),1,SUM($BH$4:$BH37))</f>
        <v>#REF!</v>
      </c>
      <c r="BJ37" s="541" t="b">
        <f ca="1">IF(ISERROR(MATCH(BI37,INDIRECT(ProductTable!$AI$4),0)),FALSE,TRUE)</f>
        <v>0</v>
      </c>
      <c r="BK37" s="541" t="e">
        <f ca="1">MATCH(TRUE,OFFSET(INDIRECT($BJ$3),SUM($BK$4:$BK36),0,ProductTable!$AG$2-SUM($BK$4:$BK36),1),0)</f>
        <v>#N/A</v>
      </c>
      <c r="BL37" s="541" t="str">
        <f ca="1">IF(ISERROR($BK37),"",INDEX(INDIRECT($BI$3),SUM($BK$4:$BK37)))</f>
        <v/>
      </c>
    </row>
    <row r="38" spans="2:64" x14ac:dyDescent="0.25">
      <c r="B38" s="184" t="e">
        <f ca="1">MATCH(TRUE,OFFSET(INDIRECT(INDEX(INDIRECT(CT_APtoSTA!$B$4),0,MATCH(SelectionTables!$G$4,INDIRECT(CT_APtoSTA!$G$3),0))),SUM($B$4:$B37),0,ProductTable!$C$2-SUM($B$4:$B37)),0)</f>
        <v>#REF!</v>
      </c>
      <c r="C38" s="184" t="e">
        <f ca="1">INDEX(INDIRECT(CT_APtoSTA!$G$2),SUM($B$4:$B38))</f>
        <v>#REF!</v>
      </c>
      <c r="D38" s="184" t="b">
        <f ca="1">IF(ISERROR(MATCH(C38,INDIRECT(ProductTable!$E$4),0)),FALSE,TRUE)</f>
        <v>0</v>
      </c>
      <c r="E38" s="184" t="e">
        <f ca="1">MATCH(TRUE,OFFSET(INDIRECT($D$3),SUM($E$4:$E37),0,ProductTable!$C$2-SUM($E$4:$E37),1),0)</f>
        <v>#N/A</v>
      </c>
      <c r="F38" s="184" t="str">
        <f ca="1">IF(ISERROR($E38),"",INDEX(INDIRECT($C$3),SUM($E$4:$E38)))</f>
        <v/>
      </c>
      <c r="G38" s="92"/>
      <c r="H38" s="268" t="e">
        <f ca="1">MATCH(TRUE,OFFSET(INDIRECT(INDEX(INDIRECT(CT_STAtoWLAN!$A$5),MATCH(SelectionTables!$G$4,INDIRECT(CT_STAtoWLAN!$G$2),0),0)),0,SUM($H$4:$H37),1,ProductTable!$W$2-SUM($H$4:$H37)),0)</f>
        <v>#REF!</v>
      </c>
      <c r="I38" s="251" t="e">
        <f ca="1">INDEX(INDIRECT(CT_STAtoWLAN!$G$3),1,SUM($H$4:$H38))</f>
        <v>#REF!</v>
      </c>
      <c r="J38" s="268" t="e">
        <f ca="1">MATCH(TRUE,OFFSET(INDIRECT(INDEX(INDIRECT(CT_APtoWLAN!$A$5),MATCH(SelectionTables!$S$4,INDIRECT(CT_APtoWLAN!$G$2),0),0)),0,SUM($J$4:$J37),1,ProductTable!$W$2-SUM($J$4:$J37)),0)</f>
        <v>#REF!</v>
      </c>
      <c r="K38" s="251" t="e">
        <f ca="1">INDEX(INDIRECT(CT_APtoWLAN!$G$3),1,SUM($J$4:$J38))</f>
        <v>#REF!</v>
      </c>
      <c r="L38" s="268" t="b">
        <f t="shared" ca="1" si="3"/>
        <v>0</v>
      </c>
      <c r="M38" s="184" t="e">
        <f ca="1">MATCH(TRUE,OFFSET(INDIRECT(L$3),SUM(M$4:M37),0),0)</f>
        <v>#N/A</v>
      </c>
      <c r="N38" s="251" t="e">
        <f ca="1">INDEX(INDIRECT(I$3),SUM(M$4:M38))</f>
        <v>#N/A</v>
      </c>
      <c r="O38" s="184" t="b">
        <f ca="1">IF(ISERROR(MATCH(N38,INDIRECT(ProductTable!$Y$4),0)),FALSE,TRUE)</f>
        <v>0</v>
      </c>
      <c r="P38" s="184" t="e">
        <f ca="1">MATCH(TRUE,OFFSET(INDIRECT(O$3),SUM(P$4:P37),0),0)</f>
        <v>#N/A</v>
      </c>
      <c r="Q38" s="184" t="str">
        <f ca="1">IF(ISERROR(P38),"",INDEX(INDIRECT(N$3),SUM($P$4:$P38)))</f>
        <v/>
      </c>
      <c r="S38" s="134" t="e">
        <f ca="1">MATCH(TRUE,OFFSET(INDIRECT(INDEX(INDIRECT(CT_STAtoANT!$A$5),MATCH(SelectionTables!$G$4,INDIRECT(CT_STAtoANT!$G$2),0),0)),0,SUM($S$4:$S37),1,ProductTable!$H$2-SUM($S$4:$S37)),0)</f>
        <v>#REF!</v>
      </c>
      <c r="T38" s="184" t="e">
        <f ca="1">INDEX(INDIRECT(CT_STAtoANT!$G$3),1,SUM($S$4:$S38))</f>
        <v>#REF!</v>
      </c>
      <c r="U38" s="184" t="b">
        <f ca="1">IF(ISERROR(MATCH(T38,INDIRECT(ProductTable!$J$4),0)),FALSE,TRUE)</f>
        <v>0</v>
      </c>
      <c r="V38" s="184" t="e">
        <f ca="1">MATCH(TRUE,OFFSET(INDIRECT($U$3),SUM($V$4:$V37),0,ProductTable!$H$2-SUM($V$4:$V37),1),0)</f>
        <v>#REF!</v>
      </c>
      <c r="W38" s="184" t="str">
        <f ca="1">IF(ISERROR($V38),"",INDEX(INDIRECT($T$3),SUM($V$4:$V38)))</f>
        <v/>
      </c>
      <c r="Y38" s="184" t="e">
        <f ca="1">MATCH(TRUE,OFFSET(INDIRECT(INDEX(INDIRECT(CT_APtoC1!$A$5),MATCH(SelectionTables!$S$4,INDIRECT(CT_APtoC1!$G$2),0),0)),0,SUM($Y$4:$Y37),1,ProductTable!$C$2-SUM($Y$4:$Y37)),0)</f>
        <v>#REF!</v>
      </c>
      <c r="Z38" s="251" t="e">
        <f ca="1">INDEX(INDIRECT(CT_APtoC1!$G$3),1,SUM($Y$4:$Y38))</f>
        <v>#REF!</v>
      </c>
      <c r="AA38" s="184" t="e">
        <f ca="1">MATCH(TRUE,OFFSET(INDIRECT(INDEX(INDIRECT(CT_C1toANT!$B$4),0,MATCH(SelectionTables!$U$4,INDIRECT(CT_C1toANT!$G$3),0))),SUM(AA$4:AA37),0,ProductTable!$M$2-SUM(AA$4:AA37)),0)</f>
        <v>#REF!</v>
      </c>
      <c r="AB38" s="251" t="str">
        <f ca="1">IF(ISERROR(AA38),"",INDEX(INDIRECT(CT_C1toANT!$G$2),SUM(AA$4:AA38)))</f>
        <v/>
      </c>
      <c r="AC38" s="184" t="b">
        <f t="shared" ca="1" si="1"/>
        <v>0</v>
      </c>
      <c r="AD38" s="184" t="e">
        <f ca="1">MATCH(TRUE,OFFSET(INDIRECT($AC$3),SUM($AD$4:$AD37),0),0)</f>
        <v>#N/A</v>
      </c>
      <c r="AE38" s="184" t="e">
        <f ca="1">INDEX(INDIRECT($Z$3),SUM($AD$4:$AD38))</f>
        <v>#N/A</v>
      </c>
      <c r="AF38" s="184" t="b">
        <f ca="1">IF(ISERROR(MATCH(AE38,INDIRECT(ProductTable!$O$4),0)),FALSE,TRUE)</f>
        <v>0</v>
      </c>
      <c r="AG38" s="184" t="e">
        <f ca="1">MATCH(TRUE,OFFSET(INDIRECT($AF$3),SUM($AG$4:$AG37),0),0)</f>
        <v>#N/A</v>
      </c>
      <c r="AH38" s="184" t="str">
        <f ca="1">IF(ISERROR(AG38),"",INDEX(INDIRECT($AE$3),SUM($AG$4:$AG38)))</f>
        <v/>
      </c>
      <c r="AJ38" s="184" t="e">
        <f ca="1">MATCH(TRUE,OFFSET(INDIRECT(INDEX(INDIRECT(CT_SAtoC1!$A$5),MATCH(SelectionTables!$V$4,INDIRECT(CT_SAtoC1!$G$2),0),0)),0,SUM($AJ$4:$AJ37),1,ProductTable!$C$2-SUM($AJ$4:$AJ37)),0)</f>
        <v>#REF!</v>
      </c>
      <c r="AK38" s="251" t="e">
        <f ca="1">INDEX(INDIRECT(CT_SAtoC1!$G$3),1,SUM($AJ$4:$AJ38))</f>
        <v>#REF!</v>
      </c>
      <c r="AL38" s="184" t="e">
        <f ca="1">MATCH(TRUE,OFFSET(INDIRECT(INDEX(INDIRECT(CT_C1toANT!$B$4),0,MATCH(SelectionTables!$U$4,INDIRECT(CT_C1toANT!$G$3),0))),SUM(AL$4:AL37),0,ProductTable!$M$2-SUM(AL$4:AL37)),0)</f>
        <v>#REF!</v>
      </c>
      <c r="AM38" s="251" t="str">
        <f ca="1">IF(ISERROR(AL38),"",INDEX(INDIRECT(CT_C1toANT!$G$2),SUM(AL$4:AL38)))</f>
        <v/>
      </c>
      <c r="AN38" s="184" t="b">
        <f t="shared" ca="1" si="0"/>
        <v>0</v>
      </c>
      <c r="AO38" s="184" t="e">
        <f ca="1">MATCH(TRUE,OFFSET(INDIRECT(AN$3),SUM(AO$4:AO37),0),0)</f>
        <v>#N/A</v>
      </c>
      <c r="AP38" s="184" t="e">
        <f ca="1">INDEX(INDIRECT(AK$3),SUM(AO$4:AO38))</f>
        <v>#N/A</v>
      </c>
      <c r="AQ38" s="184" t="b">
        <f ca="1">IF(ISERROR(MATCH(AP38,INDIRECT(ProductTable!$AI$4),0)),FALSE,TRUE)</f>
        <v>0</v>
      </c>
      <c r="AR38" s="184" t="e">
        <f ca="1">MATCH(TRUE,OFFSET(INDIRECT($AQ$3),SUM($AR$4:$AR37),0),0)</f>
        <v>#N/A</v>
      </c>
      <c r="AS38" s="184" t="str">
        <f ca="1">IF(ISERROR(AR38),"",INDEX(INDIRECT(AP$3),SUM(AR$4:AR38)))</f>
        <v/>
      </c>
      <c r="AU38" s="184">
        <f ca="1">IF(OR(EXACT(SelectionTables!$T$4,ProductTable!$L$7),EXACT(SelectionTables!$T$4,"")),"",ProductTable!T41)</f>
        <v>0</v>
      </c>
      <c r="AW38" s="540" t="e">
        <f ca="1">MATCH(TRUE,OFFSET(INDIRECT(INDEX(INDIRECT(CT_STAtoANT!$A$5),MATCH(SelectionTables!$G$4,INDIRECT(CT_STAtoANT!$G$2),0),0)),0,SUM($AW$4:$AW37),1,ProductTable!$H$2-SUM($AW$4:$AW37)),0)</f>
        <v>#REF!</v>
      </c>
      <c r="AX38" s="541" t="e">
        <f ca="1">INDEX(INDIRECT(CT_STAtoANT!$G$3),1,SUM($AW$4:$AW38))</f>
        <v>#REF!</v>
      </c>
      <c r="AY38" s="541" t="b">
        <f ca="1">IF(ISERROR(MATCH(AX38,INDIRECT(ProductTable!$J$4),0)),FALSE,TRUE)</f>
        <v>0</v>
      </c>
      <c r="AZ38" s="541" t="e">
        <f ca="1">MATCH(TRUE,OFFSET(INDIRECT($AY$3),SUM($AZ$4:$AZ37),0,ProductTable!$H$2-SUM($AZ$4:$AZ37),1),0)</f>
        <v>#REF!</v>
      </c>
      <c r="BA38" s="541" t="str">
        <f ca="1">IF(ISERROR($AZ38),"",INDEX(INDIRECT($AX$3),SUM($AZ$4:$AZ38)))</f>
        <v/>
      </c>
      <c r="BB38" s="541" t="e">
        <f ca="1">MATCH(TRUE,OFFSET(INDIRECT(INDEX(INDIRECT(CT_APtoANT!$A$5),MATCH(SelectionTables!$S$4,INDIRECT(CT_APtoANT!$G$2),0),0)),0,SUM($BB$4:$BB37),1,ProductTable!$H$2-SUM($BB$4:$BB37)),0)</f>
        <v>#REF!</v>
      </c>
      <c r="BC38" s="541" t="e">
        <f ca="1">INDEX(INDIRECT(CT_APtoANT!$G$3),1,SUM($BB$4:$BB38))</f>
        <v>#REF!</v>
      </c>
      <c r="BD38" s="541" t="b">
        <f t="shared" ca="1" si="2"/>
        <v>0</v>
      </c>
      <c r="BE38" s="541" t="e">
        <f ca="1">MATCH(TRUE,OFFSET(INDIRECT($BD$3),SUM($BE$4:$BE37),0,ProductTable!$H$2-SUM($BE$4:$BE37),1),0)</f>
        <v>#REF!</v>
      </c>
      <c r="BF38" s="541" t="str">
        <f ca="1">IF(ISERROR($BE38),"",INDEX(INDIRECT($BA$3),SUM($BE$4:$BE38)))</f>
        <v/>
      </c>
      <c r="BH38" s="541" t="e">
        <f ca="1">MATCH(TRUE,OFFSET(INDIRECT(INDEX(INDIRECT(CT_APtoC1!$A$5),MATCH(SelectionTables!$S$4,INDIRECT(CT_APtoC1!$G$2),0),0)),0,SUM($BH$4:$BH37),1,ProductTable!$AG$2-SUM($BH$4:$BH37)),0)</f>
        <v>#REF!</v>
      </c>
      <c r="BI38" s="541" t="e">
        <f ca="1">INDEX(INDIRECT(CT_APtoC1!$G$3),1,SUM($BH$4:$BH38))</f>
        <v>#REF!</v>
      </c>
      <c r="BJ38" s="541" t="b">
        <f ca="1">IF(ISERROR(MATCH(BI38,INDIRECT(ProductTable!$AI$4),0)),FALSE,TRUE)</f>
        <v>0</v>
      </c>
      <c r="BK38" s="541" t="e">
        <f ca="1">MATCH(TRUE,OFFSET(INDIRECT($BJ$3),SUM($BK$4:$BK37),0,ProductTable!$AG$2-SUM($BK$4:$BK37),1),0)</f>
        <v>#N/A</v>
      </c>
      <c r="BL38" s="541" t="str">
        <f ca="1">IF(ISERROR($BK38),"",INDEX(INDIRECT($BI$3),SUM($BK$4:$BK38)))</f>
        <v/>
      </c>
    </row>
    <row r="39" spans="2:64" x14ac:dyDescent="0.25">
      <c r="B39" s="184" t="e">
        <f ca="1">MATCH(TRUE,OFFSET(INDIRECT(INDEX(INDIRECT(CT_APtoSTA!$B$4),0,MATCH(SelectionTables!$G$4,INDIRECT(CT_APtoSTA!$G$3),0))),SUM($B$4:$B38),0,ProductTable!$C$2-SUM($B$4:$B38)),0)</f>
        <v>#REF!</v>
      </c>
      <c r="C39" s="184" t="e">
        <f ca="1">INDEX(INDIRECT(CT_APtoSTA!$G$2),SUM($B$4:$B39))</f>
        <v>#REF!</v>
      </c>
      <c r="D39" s="184" t="b">
        <f ca="1">IF(ISERROR(MATCH(C39,INDIRECT(ProductTable!$E$4),0)),FALSE,TRUE)</f>
        <v>0</v>
      </c>
      <c r="E39" s="184" t="e">
        <f ca="1">MATCH(TRUE,OFFSET(INDIRECT($D$3),SUM($E$4:$E38),0,ProductTable!$C$2-SUM($E$4:$E38),1),0)</f>
        <v>#N/A</v>
      </c>
      <c r="F39" s="184" t="str">
        <f ca="1">IF(ISERROR($E39),"",INDEX(INDIRECT($C$3),SUM($E$4:$E39)))</f>
        <v/>
      </c>
      <c r="G39" s="92"/>
      <c r="H39" s="268" t="e">
        <f ca="1">MATCH(TRUE,OFFSET(INDIRECT(INDEX(INDIRECT(CT_STAtoWLAN!$A$5),MATCH(SelectionTables!$G$4,INDIRECT(CT_STAtoWLAN!$G$2),0),0)),0,SUM($H$4:$H38),1,ProductTable!$W$2-SUM($H$4:$H38)),0)</f>
        <v>#REF!</v>
      </c>
      <c r="I39" s="251" t="e">
        <f ca="1">INDEX(INDIRECT(CT_STAtoWLAN!$G$3),1,SUM($H$4:$H39))</f>
        <v>#REF!</v>
      </c>
      <c r="J39" s="268" t="e">
        <f ca="1">MATCH(TRUE,OFFSET(INDIRECT(INDEX(INDIRECT(CT_APtoWLAN!$A$5),MATCH(SelectionTables!$S$4,INDIRECT(CT_APtoWLAN!$G$2),0),0)),0,SUM($J$4:$J38),1,ProductTable!$W$2-SUM($J$4:$J38)),0)</f>
        <v>#REF!</v>
      </c>
      <c r="K39" s="251" t="e">
        <f ca="1">INDEX(INDIRECT(CT_APtoWLAN!$G$3),1,SUM($J$4:$J39))</f>
        <v>#REF!</v>
      </c>
      <c r="L39" s="268" t="b">
        <f t="shared" ca="1" si="3"/>
        <v>0</v>
      </c>
      <c r="M39" s="184" t="e">
        <f ca="1">MATCH(TRUE,OFFSET(INDIRECT(L$3),SUM(M$4:M38),0),0)</f>
        <v>#N/A</v>
      </c>
      <c r="N39" s="251" t="e">
        <f ca="1">INDEX(INDIRECT(I$3),SUM(M$4:M39))</f>
        <v>#N/A</v>
      </c>
      <c r="O39" s="184" t="b">
        <f ca="1">IF(ISERROR(MATCH(N39,INDIRECT(ProductTable!$Y$4),0)),FALSE,TRUE)</f>
        <v>0</v>
      </c>
      <c r="P39" s="184" t="e">
        <f ca="1">MATCH(TRUE,OFFSET(INDIRECT(O$3),SUM(P$4:P38),0),0)</f>
        <v>#N/A</v>
      </c>
      <c r="Q39" s="184" t="str">
        <f ca="1">IF(ISERROR(P39),"",INDEX(INDIRECT(N$3),SUM($P$4:$P39)))</f>
        <v/>
      </c>
      <c r="S39" s="134" t="e">
        <f ca="1">MATCH(TRUE,OFFSET(INDIRECT(INDEX(INDIRECT(CT_STAtoANT!$A$5),MATCH(SelectionTables!$G$4,INDIRECT(CT_STAtoANT!$G$2),0),0)),0,SUM($S$4:$S38),1,ProductTable!$H$2-SUM($S$4:$S38)),0)</f>
        <v>#REF!</v>
      </c>
      <c r="T39" s="184" t="e">
        <f ca="1">INDEX(INDIRECT(CT_STAtoANT!$G$3),1,SUM($S$4:$S39))</f>
        <v>#REF!</v>
      </c>
      <c r="U39" s="184" t="b">
        <f ca="1">IF(ISERROR(MATCH(T39,INDIRECT(ProductTable!$J$4),0)),FALSE,TRUE)</f>
        <v>0</v>
      </c>
      <c r="V39" s="184" t="e">
        <f ca="1">MATCH(TRUE,OFFSET(INDIRECT($U$3),SUM($V$4:$V38),0,ProductTable!$H$2-SUM($V$4:$V38),1),0)</f>
        <v>#REF!</v>
      </c>
      <c r="W39" s="184" t="str">
        <f ca="1">IF(ISERROR($V39),"",INDEX(INDIRECT($T$3),SUM($V$4:$V39)))</f>
        <v/>
      </c>
      <c r="Y39" s="184" t="e">
        <f ca="1">MATCH(TRUE,OFFSET(INDIRECT(INDEX(INDIRECT(CT_APtoC1!$A$5),MATCH(SelectionTables!$S$4,INDIRECT(CT_APtoC1!$G$2),0),0)),0,SUM($Y$4:$Y38),1,ProductTable!$C$2-SUM($Y$4:$Y38)),0)</f>
        <v>#REF!</v>
      </c>
      <c r="Z39" s="251" t="e">
        <f ca="1">INDEX(INDIRECT(CT_APtoC1!$G$3),1,SUM($Y$4:$Y39))</f>
        <v>#REF!</v>
      </c>
      <c r="AA39" s="184" t="e">
        <f ca="1">MATCH(TRUE,OFFSET(INDIRECT(INDEX(INDIRECT(CT_C1toANT!$B$4),0,MATCH(SelectionTables!$U$4,INDIRECT(CT_C1toANT!$G$3),0))),SUM(AA$4:AA38),0,ProductTable!$M$2-SUM(AA$4:AA38)),0)</f>
        <v>#REF!</v>
      </c>
      <c r="AB39" s="251" t="str">
        <f ca="1">IF(ISERROR(AA39),"",INDEX(INDIRECT(CT_C1toANT!$G$2),SUM(AA$4:AA39)))</f>
        <v/>
      </c>
      <c r="AC39" s="184" t="b">
        <f t="shared" ca="1" si="1"/>
        <v>0</v>
      </c>
      <c r="AD39" s="184" t="e">
        <f ca="1">MATCH(TRUE,OFFSET(INDIRECT($AC$3),SUM($AD$4:$AD38),0),0)</f>
        <v>#N/A</v>
      </c>
      <c r="AE39" s="184" t="e">
        <f ca="1">INDEX(INDIRECT($Z$3),SUM($AD$4:$AD39))</f>
        <v>#N/A</v>
      </c>
      <c r="AF39" s="184" t="b">
        <f ca="1">IF(ISERROR(MATCH(AE39,INDIRECT(ProductTable!$O$4),0)),FALSE,TRUE)</f>
        <v>0</v>
      </c>
      <c r="AG39" s="184" t="e">
        <f ca="1">MATCH(TRUE,OFFSET(INDIRECT($AF$3),SUM($AG$4:$AG38),0),0)</f>
        <v>#N/A</v>
      </c>
      <c r="AH39" s="184" t="str">
        <f ca="1">IF(ISERROR(AG39),"",INDEX(INDIRECT($AE$3),SUM($AG$4:$AG39)))</f>
        <v/>
      </c>
      <c r="AJ39" s="184" t="e">
        <f ca="1">MATCH(TRUE,OFFSET(INDIRECT(INDEX(INDIRECT(CT_SAtoC1!$A$5),MATCH(SelectionTables!$V$4,INDIRECT(CT_SAtoC1!$G$2),0),0)),0,SUM($AJ$4:$AJ38),1,ProductTable!$C$2-SUM($AJ$4:$AJ38)),0)</f>
        <v>#REF!</v>
      </c>
      <c r="AK39" s="251" t="e">
        <f ca="1">INDEX(INDIRECT(CT_SAtoC1!$G$3),1,SUM($AJ$4:$AJ39))</f>
        <v>#REF!</v>
      </c>
      <c r="AL39" s="184" t="e">
        <f ca="1">MATCH(TRUE,OFFSET(INDIRECT(INDEX(INDIRECT(CT_C1toANT!$B$4),0,MATCH(SelectionTables!$U$4,INDIRECT(CT_C1toANT!$G$3),0))),SUM(AL$4:AL38),0,ProductTable!$M$2-SUM(AL$4:AL38)),0)</f>
        <v>#REF!</v>
      </c>
      <c r="AM39" s="251" t="str">
        <f ca="1">IF(ISERROR(AL39),"",INDEX(INDIRECT(CT_C1toANT!$G$2),SUM(AL$4:AL39)))</f>
        <v/>
      </c>
      <c r="AN39" s="184" t="b">
        <f t="shared" ca="1" si="0"/>
        <v>0</v>
      </c>
      <c r="AO39" s="184" t="e">
        <f ca="1">MATCH(TRUE,OFFSET(INDIRECT(AN$3),SUM(AO$4:AO38),0),0)</f>
        <v>#N/A</v>
      </c>
      <c r="AP39" s="184" t="e">
        <f ca="1">INDEX(INDIRECT(AK$3),SUM(AO$4:AO39))</f>
        <v>#N/A</v>
      </c>
      <c r="AQ39" s="184" t="b">
        <f ca="1">IF(ISERROR(MATCH(AP39,INDIRECT(ProductTable!$AI$4),0)),FALSE,TRUE)</f>
        <v>0</v>
      </c>
      <c r="AR39" s="184" t="e">
        <f ca="1">MATCH(TRUE,OFFSET(INDIRECT($AQ$3),SUM($AR$4:$AR38),0),0)</f>
        <v>#N/A</v>
      </c>
      <c r="AS39" s="184" t="str">
        <f ca="1">IF(ISERROR(AR39),"",INDEX(INDIRECT(AP$3),SUM(AR$4:AR39)))</f>
        <v/>
      </c>
      <c r="AU39" s="184">
        <f ca="1">IF(OR(EXACT(SelectionTables!$T$4,ProductTable!$L$7),EXACT(SelectionTables!$T$4,"")),"",ProductTable!T42)</f>
        <v>0</v>
      </c>
      <c r="AW39" s="540" t="e">
        <f ca="1">MATCH(TRUE,OFFSET(INDIRECT(INDEX(INDIRECT(CT_STAtoANT!$A$5),MATCH(SelectionTables!$G$4,INDIRECT(CT_STAtoANT!$G$2),0),0)),0,SUM($AW$4:$AW38),1,ProductTable!$H$2-SUM($AW$4:$AW38)),0)</f>
        <v>#REF!</v>
      </c>
      <c r="AX39" s="541" t="e">
        <f ca="1">INDEX(INDIRECT(CT_STAtoANT!$G$3),1,SUM($AW$4:$AW39))</f>
        <v>#REF!</v>
      </c>
      <c r="AY39" s="541" t="b">
        <f ca="1">IF(ISERROR(MATCH(AX39,INDIRECT(ProductTable!$J$4),0)),FALSE,TRUE)</f>
        <v>0</v>
      </c>
      <c r="AZ39" s="541" t="e">
        <f ca="1">MATCH(TRUE,OFFSET(INDIRECT($AY$3),SUM($AZ$4:$AZ38),0,ProductTable!$H$2-SUM($AZ$4:$AZ38),1),0)</f>
        <v>#REF!</v>
      </c>
      <c r="BA39" s="541" t="str">
        <f ca="1">IF(ISERROR($AZ39),"",INDEX(INDIRECT($AX$3),SUM($AZ$4:$AZ39)))</f>
        <v/>
      </c>
      <c r="BB39" s="541" t="e">
        <f ca="1">MATCH(TRUE,OFFSET(INDIRECT(INDEX(INDIRECT(CT_APtoANT!$A$5),MATCH(SelectionTables!$S$4,INDIRECT(CT_APtoANT!$G$2),0),0)),0,SUM($BB$4:$BB38),1,ProductTable!$H$2-SUM($BB$4:$BB38)),0)</f>
        <v>#REF!</v>
      </c>
      <c r="BC39" s="541" t="e">
        <f ca="1">INDEX(INDIRECT(CT_APtoANT!$G$3),1,SUM($BB$4:$BB39))</f>
        <v>#REF!</v>
      </c>
      <c r="BD39" s="541" t="b">
        <f t="shared" ca="1" si="2"/>
        <v>0</v>
      </c>
      <c r="BE39" s="541" t="e">
        <f ca="1">MATCH(TRUE,OFFSET(INDIRECT($BD$3),SUM($BE$4:$BE38),0,ProductTable!$H$2-SUM($BE$4:$BE38),1),0)</f>
        <v>#REF!</v>
      </c>
      <c r="BF39" s="541" t="str">
        <f ca="1">IF(ISERROR($BE39),"",INDEX(INDIRECT($BA$3),SUM($BE$4:$BE39)))</f>
        <v/>
      </c>
      <c r="BH39" s="541" t="e">
        <f ca="1">MATCH(TRUE,OFFSET(INDIRECT(INDEX(INDIRECT(CT_APtoC1!$A$5),MATCH(SelectionTables!$S$4,INDIRECT(CT_APtoC1!$G$2),0),0)),0,SUM($BH$4:$BH38),1,ProductTable!$AG$2-SUM($BH$4:$BH38)),0)</f>
        <v>#REF!</v>
      </c>
      <c r="BI39" s="541" t="e">
        <f ca="1">INDEX(INDIRECT(CT_APtoC1!$G$3),1,SUM($BH$4:$BH39))</f>
        <v>#REF!</v>
      </c>
      <c r="BJ39" s="541" t="b">
        <f ca="1">IF(ISERROR(MATCH(BI39,INDIRECT(ProductTable!$AI$4),0)),FALSE,TRUE)</f>
        <v>0</v>
      </c>
      <c r="BK39" s="541" t="e">
        <f ca="1">MATCH(TRUE,OFFSET(INDIRECT($BJ$3),SUM($BK$4:$BK38),0,ProductTable!$AG$2-SUM($BK$4:$BK38),1),0)</f>
        <v>#N/A</v>
      </c>
      <c r="BL39" s="541" t="str">
        <f ca="1">IF(ISERROR($BK39),"",INDEX(INDIRECT($BI$3),SUM($BK$4:$BK39)))</f>
        <v/>
      </c>
    </row>
    <row r="40" spans="2:64" x14ac:dyDescent="0.25">
      <c r="B40" s="184" t="e">
        <f ca="1">MATCH(TRUE,OFFSET(INDIRECT(INDEX(INDIRECT(CT_APtoSTA!$B$4),0,MATCH(SelectionTables!$G$4,INDIRECT(CT_APtoSTA!$G$3),0))),SUM($B$4:$B39),0,ProductTable!$C$2-SUM($B$4:$B39)),0)</f>
        <v>#REF!</v>
      </c>
      <c r="C40" s="184" t="e">
        <f ca="1">INDEX(INDIRECT(CT_APtoSTA!$G$2),SUM($B$4:$B40))</f>
        <v>#REF!</v>
      </c>
      <c r="D40" s="184" t="b">
        <f ca="1">IF(ISERROR(MATCH(C40,INDIRECT(ProductTable!$E$4),0)),FALSE,TRUE)</f>
        <v>0</v>
      </c>
      <c r="E40" s="184" t="e">
        <f ca="1">MATCH(TRUE,OFFSET(INDIRECT($D$3),SUM($E$4:$E39),0,ProductTable!$C$2-SUM($E$4:$E39),1),0)</f>
        <v>#N/A</v>
      </c>
      <c r="F40" s="184" t="str">
        <f ca="1">IF(ISERROR($E40),"",INDEX(INDIRECT($C$3),SUM($E$4:$E40)))</f>
        <v/>
      </c>
      <c r="G40" s="92"/>
      <c r="H40" s="268" t="e">
        <f ca="1">MATCH(TRUE,OFFSET(INDIRECT(INDEX(INDIRECT(CT_STAtoWLAN!$A$5),MATCH(SelectionTables!$G$4,INDIRECT(CT_STAtoWLAN!$G$2),0),0)),0,SUM($H$4:$H39),1,ProductTable!$W$2-SUM($H$4:$H39)),0)</f>
        <v>#REF!</v>
      </c>
      <c r="I40" s="251" t="e">
        <f ca="1">INDEX(INDIRECT(CT_STAtoWLAN!$G$3),1,SUM($H$4:$H40))</f>
        <v>#REF!</v>
      </c>
      <c r="J40" s="268" t="e">
        <f ca="1">MATCH(TRUE,OFFSET(INDIRECT(INDEX(INDIRECT(CT_APtoWLAN!$A$5),MATCH(SelectionTables!$S$4,INDIRECT(CT_APtoWLAN!$G$2),0),0)),0,SUM($J$4:$J39),1,ProductTable!$W$2-SUM($J$4:$J39)),0)</f>
        <v>#REF!</v>
      </c>
      <c r="K40" s="251" t="e">
        <f ca="1">INDEX(INDIRECT(CT_APtoWLAN!$G$3),1,SUM($J$4:$J40))</f>
        <v>#REF!</v>
      </c>
      <c r="L40" s="268" t="b">
        <f t="shared" ca="1" si="3"/>
        <v>0</v>
      </c>
      <c r="M40" s="184" t="e">
        <f ca="1">MATCH(TRUE,OFFSET(INDIRECT(L$3),SUM(M$4:M39),0),0)</f>
        <v>#N/A</v>
      </c>
      <c r="N40" s="251" t="e">
        <f ca="1">INDEX(INDIRECT(I$3),SUM(M$4:M40))</f>
        <v>#N/A</v>
      </c>
      <c r="O40" s="184" t="b">
        <f ca="1">IF(ISERROR(MATCH(N40,INDIRECT(ProductTable!$Y$4),0)),FALSE,TRUE)</f>
        <v>0</v>
      </c>
      <c r="P40" s="184" t="e">
        <f ca="1">MATCH(TRUE,OFFSET(INDIRECT(O$3),SUM(P$4:P39),0),0)</f>
        <v>#N/A</v>
      </c>
      <c r="Q40" s="184" t="str">
        <f ca="1">IF(ISERROR(P40),"",INDEX(INDIRECT(N$3),SUM($P$4:$P40)))</f>
        <v/>
      </c>
      <c r="S40" s="134" t="e">
        <f ca="1">MATCH(TRUE,OFFSET(INDIRECT(INDEX(INDIRECT(CT_STAtoANT!$A$5),MATCH(SelectionTables!$G$4,INDIRECT(CT_STAtoANT!$G$2),0),0)),0,SUM($S$4:$S39),1,ProductTable!$H$2-SUM($S$4:$S39)),0)</f>
        <v>#REF!</v>
      </c>
      <c r="T40" s="184" t="e">
        <f ca="1">INDEX(INDIRECT(CT_STAtoANT!$G$3),1,SUM($S$4:$S40))</f>
        <v>#REF!</v>
      </c>
      <c r="U40" s="184" t="b">
        <f ca="1">IF(ISERROR(MATCH(T40,INDIRECT(ProductTable!$J$4),0)),FALSE,TRUE)</f>
        <v>0</v>
      </c>
      <c r="V40" s="184" t="e">
        <f ca="1">MATCH(TRUE,OFFSET(INDIRECT($U$3),SUM($V$4:$V39),0,ProductTable!$H$2-SUM($V$4:$V39),1),0)</f>
        <v>#REF!</v>
      </c>
      <c r="W40" s="184" t="str">
        <f ca="1">IF(ISERROR($V40),"",INDEX(INDIRECT($T$3),SUM($V$4:$V40)))</f>
        <v/>
      </c>
      <c r="Y40" s="184" t="e">
        <f ca="1">MATCH(TRUE,OFFSET(INDIRECT(INDEX(INDIRECT(CT_APtoC1!$A$5),MATCH(SelectionTables!$S$4,INDIRECT(CT_APtoC1!$G$2),0),0)),0,SUM($Y$4:$Y39),1,ProductTable!$C$2-SUM($Y$4:$Y39)),0)</f>
        <v>#REF!</v>
      </c>
      <c r="Z40" s="251" t="e">
        <f ca="1">INDEX(INDIRECT(CT_APtoC1!$G$3),1,SUM($Y$4:$Y40))</f>
        <v>#REF!</v>
      </c>
      <c r="AA40" s="184" t="e">
        <f ca="1">MATCH(TRUE,OFFSET(INDIRECT(INDEX(INDIRECT(CT_C1toANT!$B$4),0,MATCH(SelectionTables!$U$4,INDIRECT(CT_C1toANT!$G$3),0))),SUM(AA$4:AA39),0,ProductTable!$M$2-SUM(AA$4:AA39)),0)</f>
        <v>#REF!</v>
      </c>
      <c r="AB40" s="251" t="str">
        <f ca="1">IF(ISERROR(AA40),"",INDEX(INDIRECT(CT_C1toANT!$G$2),SUM(AA$4:AA40)))</f>
        <v/>
      </c>
      <c r="AC40" s="184" t="b">
        <f t="shared" ca="1" si="1"/>
        <v>0</v>
      </c>
      <c r="AD40" s="184" t="e">
        <f ca="1">MATCH(TRUE,OFFSET(INDIRECT($AC$3),SUM($AD$4:$AD39),0),0)</f>
        <v>#N/A</v>
      </c>
      <c r="AE40" s="184" t="e">
        <f ca="1">INDEX(INDIRECT($Z$3),SUM($AD$4:$AD40))</f>
        <v>#N/A</v>
      </c>
      <c r="AF40" s="184" t="b">
        <f ca="1">IF(ISERROR(MATCH(AE40,INDIRECT(ProductTable!$O$4),0)),FALSE,TRUE)</f>
        <v>0</v>
      </c>
      <c r="AG40" s="184" t="e">
        <f ca="1">MATCH(TRUE,OFFSET(INDIRECT($AF$3),SUM($AG$4:$AG39),0),0)</f>
        <v>#N/A</v>
      </c>
      <c r="AH40" s="184" t="str">
        <f ca="1">IF(ISERROR(AG40),"",INDEX(INDIRECT($AE$3),SUM($AG$4:$AG40)))</f>
        <v/>
      </c>
      <c r="AJ40" s="184" t="e">
        <f ca="1">MATCH(TRUE,OFFSET(INDIRECT(INDEX(INDIRECT(CT_SAtoC1!$A$5),MATCH(SelectionTables!$V$4,INDIRECT(CT_SAtoC1!$G$2),0),0)),0,SUM($AJ$4:$AJ39),1,ProductTable!$C$2-SUM($AJ$4:$AJ39)),0)</f>
        <v>#REF!</v>
      </c>
      <c r="AK40" s="251" t="e">
        <f ca="1">INDEX(INDIRECT(CT_SAtoC1!$G$3),1,SUM($AJ$4:$AJ40))</f>
        <v>#REF!</v>
      </c>
      <c r="AL40" s="184" t="e">
        <f ca="1">MATCH(TRUE,OFFSET(INDIRECT(INDEX(INDIRECT(CT_C1toANT!$B$4),0,MATCH(SelectionTables!$U$4,INDIRECT(CT_C1toANT!$G$3),0))),SUM(AL$4:AL39),0,ProductTable!$M$2-SUM(AL$4:AL39)),0)</f>
        <v>#REF!</v>
      </c>
      <c r="AM40" s="251" t="str">
        <f ca="1">IF(ISERROR(AL40),"",INDEX(INDIRECT(CT_C1toANT!$G$2),SUM(AL$4:AL40)))</f>
        <v/>
      </c>
      <c r="AN40" s="184" t="b">
        <f t="shared" ca="1" si="0"/>
        <v>0</v>
      </c>
      <c r="AO40" s="184" t="e">
        <f ca="1">MATCH(TRUE,OFFSET(INDIRECT(AN$3),SUM(AO$4:AO39),0),0)</f>
        <v>#N/A</v>
      </c>
      <c r="AP40" s="184" t="e">
        <f ca="1">INDEX(INDIRECT(AK$3),SUM(AO$4:AO40))</f>
        <v>#N/A</v>
      </c>
      <c r="AQ40" s="184" t="b">
        <f ca="1">IF(ISERROR(MATCH(AP40,INDIRECT(ProductTable!$AI$4),0)),FALSE,TRUE)</f>
        <v>0</v>
      </c>
      <c r="AR40" s="184" t="e">
        <f ca="1">MATCH(TRUE,OFFSET(INDIRECT($AQ$3),SUM($AR$4:$AR39),0),0)</f>
        <v>#N/A</v>
      </c>
      <c r="AS40" s="184" t="str">
        <f ca="1">IF(ISERROR(AR40),"",INDEX(INDIRECT(AP$3),SUM(AR$4:AR40)))</f>
        <v/>
      </c>
      <c r="AU40" s="184">
        <f ca="1">IF(OR(EXACT(SelectionTables!$T$4,ProductTable!$L$7),EXACT(SelectionTables!$T$4,"")),"",ProductTable!T43)</f>
        <v>0</v>
      </c>
      <c r="AW40" s="540" t="e">
        <f ca="1">MATCH(TRUE,OFFSET(INDIRECT(INDEX(INDIRECT(CT_STAtoANT!$A$5),MATCH(SelectionTables!$G$4,INDIRECT(CT_STAtoANT!$G$2),0),0)),0,SUM($AW$4:$AW39),1,ProductTable!$H$2-SUM($AW$4:$AW39)),0)</f>
        <v>#REF!</v>
      </c>
      <c r="AX40" s="541" t="e">
        <f ca="1">INDEX(INDIRECT(CT_STAtoANT!$G$3),1,SUM($AW$4:$AW40))</f>
        <v>#REF!</v>
      </c>
      <c r="AY40" s="541" t="b">
        <f ca="1">IF(ISERROR(MATCH(AX40,INDIRECT(ProductTable!$J$4),0)),FALSE,TRUE)</f>
        <v>0</v>
      </c>
      <c r="AZ40" s="541" t="e">
        <f ca="1">MATCH(TRUE,OFFSET(INDIRECT($AY$3),SUM($AZ$4:$AZ39),0,ProductTable!$H$2-SUM($AZ$4:$AZ39),1),0)</f>
        <v>#REF!</v>
      </c>
      <c r="BA40" s="541" t="str">
        <f ca="1">IF(ISERROR($AZ40),"",INDEX(INDIRECT($AX$3),SUM($AZ$4:$AZ40)))</f>
        <v/>
      </c>
      <c r="BB40" s="541" t="e">
        <f ca="1">MATCH(TRUE,OFFSET(INDIRECT(INDEX(INDIRECT(CT_APtoANT!$A$5),MATCH(SelectionTables!$S$4,INDIRECT(CT_APtoANT!$G$2),0),0)),0,SUM($BB$4:$BB39),1,ProductTable!$H$2-SUM($BB$4:$BB39)),0)</f>
        <v>#REF!</v>
      </c>
      <c r="BC40" s="541" t="e">
        <f ca="1">INDEX(INDIRECT(CT_APtoANT!$G$3),1,SUM($BB$4:$BB40))</f>
        <v>#REF!</v>
      </c>
      <c r="BD40" s="541" t="b">
        <f t="shared" ca="1" si="2"/>
        <v>0</v>
      </c>
      <c r="BE40" s="541" t="e">
        <f ca="1">MATCH(TRUE,OFFSET(INDIRECT($BD$3),SUM($BE$4:$BE39),0,ProductTable!$H$2-SUM($BE$4:$BE39),1),0)</f>
        <v>#REF!</v>
      </c>
      <c r="BF40" s="541" t="str">
        <f ca="1">IF(ISERROR($BE40),"",INDEX(INDIRECT($BA$3),SUM($BE$4:$BE40)))</f>
        <v/>
      </c>
      <c r="BH40" s="541" t="e">
        <f ca="1">MATCH(TRUE,OFFSET(INDIRECT(INDEX(INDIRECT(CT_APtoC1!$A$5),MATCH(SelectionTables!$S$4,INDIRECT(CT_APtoC1!$G$2),0),0)),0,SUM($BH$4:$BH39),1,ProductTable!$AG$2-SUM($BH$4:$BH39)),0)</f>
        <v>#REF!</v>
      </c>
      <c r="BI40" s="541" t="e">
        <f ca="1">INDEX(INDIRECT(CT_APtoC1!$G$3),1,SUM($BH$4:$BH40))</f>
        <v>#REF!</v>
      </c>
      <c r="BJ40" s="541" t="b">
        <f ca="1">IF(ISERROR(MATCH(BI40,INDIRECT(ProductTable!$AI$4),0)),FALSE,TRUE)</f>
        <v>0</v>
      </c>
      <c r="BK40" s="541" t="e">
        <f ca="1">MATCH(TRUE,OFFSET(INDIRECT($BJ$3),SUM($BK$4:$BK39),0,ProductTable!$AG$2-SUM($BK$4:$BK39),1),0)</f>
        <v>#N/A</v>
      </c>
      <c r="BL40" s="541" t="str">
        <f ca="1">IF(ISERROR($BK40),"",INDEX(INDIRECT($BI$3),SUM($BK$4:$BK40)))</f>
        <v/>
      </c>
    </row>
    <row r="41" spans="2:64" x14ac:dyDescent="0.25">
      <c r="B41" s="184" t="e">
        <f ca="1">MATCH(TRUE,OFFSET(INDIRECT(INDEX(INDIRECT(CT_APtoSTA!$B$4),0,MATCH(SelectionTables!$G$4,INDIRECT(CT_APtoSTA!$G$3),0))),SUM($B$4:$B40),0,ProductTable!$C$2-SUM($B$4:$B40)),0)</f>
        <v>#REF!</v>
      </c>
      <c r="C41" s="184" t="e">
        <f ca="1">INDEX(INDIRECT(CT_APtoSTA!$G$2),SUM($B$4:$B41))</f>
        <v>#REF!</v>
      </c>
      <c r="D41" s="184" t="b">
        <f ca="1">IF(ISERROR(MATCH(C41,INDIRECT(ProductTable!$E$4),0)),FALSE,TRUE)</f>
        <v>0</v>
      </c>
      <c r="E41" s="184" t="e">
        <f ca="1">MATCH(TRUE,OFFSET(INDIRECT($D$3),SUM($E$4:$E40),0,ProductTable!$C$2-SUM($E$4:$E40),1),0)</f>
        <v>#N/A</v>
      </c>
      <c r="F41" s="184" t="str">
        <f ca="1">IF(ISERROR($E41),"",INDEX(INDIRECT($C$3),SUM($E$4:$E41)))</f>
        <v/>
      </c>
      <c r="G41" s="92"/>
      <c r="H41" s="268" t="e">
        <f ca="1">MATCH(TRUE,OFFSET(INDIRECT(INDEX(INDIRECT(CT_STAtoWLAN!$A$5),MATCH(SelectionTables!$G$4,INDIRECT(CT_STAtoWLAN!$G$2),0),0)),0,SUM($H$4:$H40),1,ProductTable!$W$2-SUM($H$4:$H40)),0)</f>
        <v>#REF!</v>
      </c>
      <c r="I41" s="251" t="e">
        <f ca="1">INDEX(INDIRECT(CT_STAtoWLAN!$G$3),1,SUM($H$4:$H41))</f>
        <v>#REF!</v>
      </c>
      <c r="J41" s="268" t="e">
        <f ca="1">MATCH(TRUE,OFFSET(INDIRECT(INDEX(INDIRECT(CT_APtoWLAN!$A$5),MATCH(SelectionTables!$S$4,INDIRECT(CT_APtoWLAN!$G$2),0),0)),0,SUM($J$4:$J40),1,ProductTable!$W$2-SUM($J$4:$J40)),0)</f>
        <v>#REF!</v>
      </c>
      <c r="K41" s="251" t="e">
        <f ca="1">INDEX(INDIRECT(CT_APtoWLAN!$G$3),1,SUM($J$4:$J41))</f>
        <v>#REF!</v>
      </c>
      <c r="L41" s="268" t="b">
        <f t="shared" ca="1" si="3"/>
        <v>0</v>
      </c>
      <c r="M41" s="184" t="e">
        <f ca="1">MATCH(TRUE,OFFSET(INDIRECT(L$3),SUM(M$4:M40),0),0)</f>
        <v>#N/A</v>
      </c>
      <c r="N41" s="251" t="e">
        <f ca="1">INDEX(INDIRECT(I$3),SUM(M$4:M41))</f>
        <v>#N/A</v>
      </c>
      <c r="O41" s="184" t="b">
        <f ca="1">IF(ISERROR(MATCH(N41,INDIRECT(ProductTable!$Y$4),0)),FALSE,TRUE)</f>
        <v>0</v>
      </c>
      <c r="P41" s="184" t="e">
        <f ca="1">MATCH(TRUE,OFFSET(INDIRECT(O$3),SUM(P$4:P40),0),0)</f>
        <v>#N/A</v>
      </c>
      <c r="Q41" s="184" t="str">
        <f ca="1">IF(ISERROR(P41),"",INDEX(INDIRECT(N$3),SUM($P$4:$P41)))</f>
        <v/>
      </c>
      <c r="S41" s="134" t="e">
        <f ca="1">MATCH(TRUE,OFFSET(INDIRECT(INDEX(INDIRECT(CT_STAtoANT!$A$5),MATCH(SelectionTables!$G$4,INDIRECT(CT_STAtoANT!$G$2),0),0)),0,SUM($S$4:$S40),1,ProductTable!$H$2-SUM($S$4:$S40)),0)</f>
        <v>#REF!</v>
      </c>
      <c r="T41" s="184" t="e">
        <f ca="1">INDEX(INDIRECT(CT_STAtoANT!$G$3),1,SUM($S$4:$S41))</f>
        <v>#REF!</v>
      </c>
      <c r="U41" s="184" t="b">
        <f ca="1">IF(ISERROR(MATCH(T41,INDIRECT(ProductTable!$J$4),0)),FALSE,TRUE)</f>
        <v>0</v>
      </c>
      <c r="V41" s="184" t="e">
        <f ca="1">MATCH(TRUE,OFFSET(INDIRECT($U$3),SUM($V$4:$V40),0,ProductTable!$H$2-SUM($V$4:$V40),1),0)</f>
        <v>#REF!</v>
      </c>
      <c r="W41" s="184" t="str">
        <f ca="1">IF(ISERROR($V41),"",INDEX(INDIRECT($T$3),SUM($V$4:$V41)))</f>
        <v/>
      </c>
      <c r="Y41" s="184" t="e">
        <f ca="1">MATCH(TRUE,OFFSET(INDIRECT(INDEX(INDIRECT(CT_APtoC1!$A$5),MATCH(SelectionTables!$S$4,INDIRECT(CT_APtoC1!$G$2),0),0)),0,SUM($Y$4:$Y40),1,ProductTable!$C$2-SUM($Y$4:$Y40)),0)</f>
        <v>#REF!</v>
      </c>
      <c r="Z41" s="251" t="e">
        <f ca="1">INDEX(INDIRECT(CT_APtoC1!$G$3),1,SUM($Y$4:$Y41))</f>
        <v>#REF!</v>
      </c>
      <c r="AA41" s="184" t="e">
        <f ca="1">MATCH(TRUE,OFFSET(INDIRECT(INDEX(INDIRECT(CT_C1toANT!$B$4),0,MATCH(SelectionTables!$U$4,INDIRECT(CT_C1toANT!$G$3),0))),SUM(AA$4:AA40),0,ProductTable!$M$2-SUM(AA$4:AA40)),0)</f>
        <v>#REF!</v>
      </c>
      <c r="AB41" s="251" t="str">
        <f ca="1">IF(ISERROR(AA41),"",INDEX(INDIRECT(CT_C1toANT!$G$2),SUM(AA$4:AA41)))</f>
        <v/>
      </c>
      <c r="AC41" s="184" t="b">
        <f t="shared" ca="1" si="1"/>
        <v>0</v>
      </c>
      <c r="AD41" s="184" t="e">
        <f ca="1">MATCH(TRUE,OFFSET(INDIRECT($AC$3),SUM($AD$4:$AD40),0),0)</f>
        <v>#N/A</v>
      </c>
      <c r="AE41" s="184" t="e">
        <f ca="1">INDEX(INDIRECT($Z$3),SUM($AD$4:$AD41))</f>
        <v>#N/A</v>
      </c>
      <c r="AF41" s="184" t="b">
        <f ca="1">IF(ISERROR(MATCH(AE41,INDIRECT(ProductTable!$O$4),0)),FALSE,TRUE)</f>
        <v>0</v>
      </c>
      <c r="AG41" s="184" t="e">
        <f ca="1">MATCH(TRUE,OFFSET(INDIRECT($AF$3),SUM($AG$4:$AG40),0),0)</f>
        <v>#N/A</v>
      </c>
      <c r="AH41" s="184" t="str">
        <f ca="1">IF(ISERROR(AG41),"",INDEX(INDIRECT($AE$3),SUM($AG$4:$AG41)))</f>
        <v/>
      </c>
      <c r="AJ41" s="184" t="e">
        <f ca="1">MATCH(TRUE,OFFSET(INDIRECT(INDEX(INDIRECT(CT_SAtoC1!$A$5),MATCH(SelectionTables!$V$4,INDIRECT(CT_SAtoC1!$G$2),0),0)),0,SUM($AJ$4:$AJ40),1,ProductTable!$C$2-SUM($AJ$4:$AJ40)),0)</f>
        <v>#REF!</v>
      </c>
      <c r="AK41" s="251" t="e">
        <f ca="1">INDEX(INDIRECT(CT_SAtoC1!$G$3),1,SUM($AJ$4:$AJ41))</f>
        <v>#REF!</v>
      </c>
      <c r="AL41" s="184" t="e">
        <f ca="1">MATCH(TRUE,OFFSET(INDIRECT(INDEX(INDIRECT(CT_C1toANT!$B$4),0,MATCH(SelectionTables!$U$4,INDIRECT(CT_C1toANT!$G$3),0))),SUM(AL$4:AL40),0,ProductTable!$M$2-SUM(AL$4:AL40)),0)</f>
        <v>#REF!</v>
      </c>
      <c r="AM41" s="251" t="str">
        <f ca="1">IF(ISERROR(AL41),"",INDEX(INDIRECT(CT_C1toANT!$G$2),SUM(AL$4:AL41)))</f>
        <v/>
      </c>
      <c r="AN41" s="184" t="b">
        <f t="shared" ca="1" si="0"/>
        <v>0</v>
      </c>
      <c r="AO41" s="184" t="e">
        <f ca="1">MATCH(TRUE,OFFSET(INDIRECT(AN$3),SUM(AO$4:AO40),0),0)</f>
        <v>#N/A</v>
      </c>
      <c r="AP41" s="184" t="e">
        <f ca="1">INDEX(INDIRECT(AK$3),SUM(AO$4:AO41))</f>
        <v>#N/A</v>
      </c>
      <c r="AQ41" s="184" t="b">
        <f ca="1">IF(ISERROR(MATCH(AP41,INDIRECT(ProductTable!$AI$4),0)),FALSE,TRUE)</f>
        <v>0</v>
      </c>
      <c r="AR41" s="184" t="e">
        <f ca="1">MATCH(TRUE,OFFSET(INDIRECT($AQ$3),SUM($AR$4:$AR40),0),0)</f>
        <v>#N/A</v>
      </c>
      <c r="AS41" s="184" t="str">
        <f ca="1">IF(ISERROR(AR41),"",INDEX(INDIRECT(AP$3),SUM(AR$4:AR41)))</f>
        <v/>
      </c>
      <c r="AU41" s="184">
        <f ca="1">IF(OR(EXACT(SelectionTables!$T$4,ProductTable!$L$7),EXACT(SelectionTables!$T$4,"")),"",ProductTable!T44)</f>
        <v>0</v>
      </c>
      <c r="AW41" s="540" t="e">
        <f ca="1">MATCH(TRUE,OFFSET(INDIRECT(INDEX(INDIRECT(CT_STAtoANT!$A$5),MATCH(SelectionTables!$G$4,INDIRECT(CT_STAtoANT!$G$2),0),0)),0,SUM($AW$4:$AW40),1,ProductTable!$H$2-SUM($AW$4:$AW40)),0)</f>
        <v>#REF!</v>
      </c>
      <c r="AX41" s="541" t="e">
        <f ca="1">INDEX(INDIRECT(CT_STAtoANT!$G$3),1,SUM($AW$4:$AW41))</f>
        <v>#REF!</v>
      </c>
      <c r="AY41" s="541" t="b">
        <f ca="1">IF(ISERROR(MATCH(AX41,INDIRECT(ProductTable!$J$4),0)),FALSE,TRUE)</f>
        <v>0</v>
      </c>
      <c r="AZ41" s="541" t="e">
        <f ca="1">MATCH(TRUE,OFFSET(INDIRECT($AY$3),SUM($AZ$4:$AZ40),0,ProductTable!$H$2-SUM($AZ$4:$AZ40),1),0)</f>
        <v>#REF!</v>
      </c>
      <c r="BA41" s="541" t="str">
        <f ca="1">IF(ISERROR($AZ41),"",INDEX(INDIRECT($AX$3),SUM($AZ$4:$AZ41)))</f>
        <v/>
      </c>
      <c r="BB41" s="541" t="e">
        <f ca="1">MATCH(TRUE,OFFSET(INDIRECT(INDEX(INDIRECT(CT_APtoANT!$A$5),MATCH(SelectionTables!$S$4,INDIRECT(CT_APtoANT!$G$2),0),0)),0,SUM($BB$4:$BB40),1,ProductTable!$H$2-SUM($BB$4:$BB40)),0)</f>
        <v>#REF!</v>
      </c>
      <c r="BC41" s="541" t="e">
        <f ca="1">INDEX(INDIRECT(CT_APtoANT!$G$3),1,SUM($BB$4:$BB41))</f>
        <v>#REF!</v>
      </c>
      <c r="BD41" s="541" t="b">
        <f t="shared" ca="1" si="2"/>
        <v>0</v>
      </c>
      <c r="BE41" s="541" t="e">
        <f ca="1">MATCH(TRUE,OFFSET(INDIRECT($BD$3),SUM($BE$4:$BE40),0,ProductTable!$H$2-SUM($BE$4:$BE40),1),0)</f>
        <v>#REF!</v>
      </c>
      <c r="BF41" s="541" t="str">
        <f ca="1">IF(ISERROR($BE41),"",INDEX(INDIRECT($BA$3),SUM($BE$4:$BE41)))</f>
        <v/>
      </c>
      <c r="BH41" s="541" t="e">
        <f ca="1">MATCH(TRUE,OFFSET(INDIRECT(INDEX(INDIRECT(CT_APtoC1!$A$5),MATCH(SelectionTables!$S$4,INDIRECT(CT_APtoC1!$G$2),0),0)),0,SUM($BH$4:$BH40),1,ProductTable!$AG$2-SUM($BH$4:$BH40)),0)</f>
        <v>#REF!</v>
      </c>
      <c r="BI41" s="541" t="e">
        <f ca="1">INDEX(INDIRECT(CT_APtoC1!$G$3),1,SUM($BH$4:$BH41))</f>
        <v>#REF!</v>
      </c>
      <c r="BJ41" s="541" t="b">
        <f ca="1">IF(ISERROR(MATCH(BI41,INDIRECT(ProductTable!$AI$4),0)),FALSE,TRUE)</f>
        <v>0</v>
      </c>
      <c r="BK41" s="541" t="e">
        <f ca="1">MATCH(TRUE,OFFSET(INDIRECT($BJ$3),SUM($BK$4:$BK40),0,ProductTable!$AG$2-SUM($BK$4:$BK40),1),0)</f>
        <v>#N/A</v>
      </c>
      <c r="BL41" s="541" t="str">
        <f ca="1">IF(ISERROR($BK41),"",INDEX(INDIRECT($BI$3),SUM($BK$4:$BK41)))</f>
        <v/>
      </c>
    </row>
    <row r="42" spans="2:64" x14ac:dyDescent="0.25">
      <c r="B42" s="184" t="e">
        <f ca="1">MATCH(TRUE,OFFSET(INDIRECT(INDEX(INDIRECT(CT_APtoSTA!$B$4),0,MATCH(SelectionTables!$G$4,INDIRECT(CT_APtoSTA!$G$3),0))),SUM($B$4:$B41),0,ProductTable!$C$2-SUM($B$4:$B41)),0)</f>
        <v>#REF!</v>
      </c>
      <c r="C42" s="184" t="e">
        <f ca="1">INDEX(INDIRECT(CT_APtoSTA!$G$2),SUM($B$4:$B42))</f>
        <v>#REF!</v>
      </c>
      <c r="D42" s="184" t="b">
        <f ca="1">IF(ISERROR(MATCH(C42,INDIRECT(ProductTable!$E$4),0)),FALSE,TRUE)</f>
        <v>0</v>
      </c>
      <c r="E42" s="184" t="e">
        <f ca="1">MATCH(TRUE,OFFSET(INDIRECT($D$3),SUM($E$4:$E41),0,ProductTable!$C$2-SUM($E$4:$E41),1),0)</f>
        <v>#N/A</v>
      </c>
      <c r="F42" s="184" t="str">
        <f ca="1">IF(ISERROR($E42),"",INDEX(INDIRECT($C$3),SUM($E$4:$E42)))</f>
        <v/>
      </c>
      <c r="G42" s="92"/>
      <c r="H42" s="268" t="e">
        <f ca="1">MATCH(TRUE,OFFSET(INDIRECT(INDEX(INDIRECT(CT_STAtoWLAN!$A$5),MATCH(SelectionTables!$G$4,INDIRECT(CT_STAtoWLAN!$G$2),0),0)),0,SUM($H$4:$H41),1,ProductTable!$W$2-SUM($H$4:$H41)),0)</f>
        <v>#REF!</v>
      </c>
      <c r="I42" s="251" t="e">
        <f ca="1">INDEX(INDIRECT(CT_STAtoWLAN!$G$3),1,SUM($H$4:$H42))</f>
        <v>#REF!</v>
      </c>
      <c r="J42" s="268" t="e">
        <f ca="1">MATCH(TRUE,OFFSET(INDIRECT(INDEX(INDIRECT(CT_APtoWLAN!$A$5),MATCH(SelectionTables!$S$4,INDIRECT(CT_APtoWLAN!$G$2),0),0)),0,SUM($J$4:$J41),1,ProductTable!$W$2-SUM($J$4:$J41)),0)</f>
        <v>#REF!</v>
      </c>
      <c r="K42" s="251" t="e">
        <f ca="1">INDEX(INDIRECT(CT_APtoWLAN!$G$3),1,SUM($J$4:$J42))</f>
        <v>#REF!</v>
      </c>
      <c r="L42" s="268" t="b">
        <f t="shared" ca="1" si="3"/>
        <v>0</v>
      </c>
      <c r="M42" s="184" t="e">
        <f ca="1">MATCH(TRUE,OFFSET(INDIRECT(L$3),SUM(M$4:M41),0),0)</f>
        <v>#N/A</v>
      </c>
      <c r="N42" s="251" t="e">
        <f ca="1">INDEX(INDIRECT(I$3),SUM(M$4:M42))</f>
        <v>#N/A</v>
      </c>
      <c r="O42" s="184" t="b">
        <f ca="1">IF(ISERROR(MATCH(N42,INDIRECT(ProductTable!$Y$4),0)),FALSE,TRUE)</f>
        <v>0</v>
      </c>
      <c r="P42" s="184" t="e">
        <f ca="1">MATCH(TRUE,OFFSET(INDIRECT(O$3),SUM(P$4:P41),0),0)</f>
        <v>#N/A</v>
      </c>
      <c r="Q42" s="184" t="str">
        <f ca="1">IF(ISERROR(P42),"",INDEX(INDIRECT(N$3),SUM($P$4:$P42)))</f>
        <v/>
      </c>
      <c r="S42" s="134" t="e">
        <f ca="1">MATCH(TRUE,OFFSET(INDIRECT(INDEX(INDIRECT(CT_STAtoANT!$A$5),MATCH(SelectionTables!$G$4,INDIRECT(CT_STAtoANT!$G$2),0),0)),0,SUM($S$4:$S41),1,ProductTable!$H$2-SUM($S$4:$S41)),0)</f>
        <v>#REF!</v>
      </c>
      <c r="T42" s="184" t="e">
        <f ca="1">INDEX(INDIRECT(CT_STAtoANT!$G$3),1,SUM($S$4:$S42))</f>
        <v>#REF!</v>
      </c>
      <c r="U42" s="184" t="b">
        <f ca="1">IF(ISERROR(MATCH(T42,INDIRECT(ProductTable!$J$4),0)),FALSE,TRUE)</f>
        <v>0</v>
      </c>
      <c r="V42" s="184" t="e">
        <f ca="1">MATCH(TRUE,OFFSET(INDIRECT($U$3),SUM($V$4:$V41),0,ProductTable!$H$2-SUM($V$4:$V41),1),0)</f>
        <v>#REF!</v>
      </c>
      <c r="W42" s="184" t="str">
        <f ca="1">IF(ISERROR($V42),"",INDEX(INDIRECT($T$3),SUM($V$4:$V42)))</f>
        <v/>
      </c>
      <c r="Y42" s="184" t="e">
        <f ca="1">MATCH(TRUE,OFFSET(INDIRECT(INDEX(INDIRECT(CT_APtoC1!$A$5),MATCH(SelectionTables!$S$4,INDIRECT(CT_APtoC1!$G$2),0),0)),0,SUM($Y$4:$Y41),1,ProductTable!$C$2-SUM($Y$4:$Y41)),0)</f>
        <v>#REF!</v>
      </c>
      <c r="Z42" s="251" t="e">
        <f ca="1">INDEX(INDIRECT(CT_APtoC1!$G$3),1,SUM($Y$4:$Y42))</f>
        <v>#REF!</v>
      </c>
      <c r="AA42" s="184" t="e">
        <f ca="1">MATCH(TRUE,OFFSET(INDIRECT(INDEX(INDIRECT(CT_C1toANT!$B$4),0,MATCH(SelectionTables!$U$4,INDIRECT(CT_C1toANT!$G$3),0))),SUM(AA$4:AA41),0,ProductTable!$M$2-SUM(AA$4:AA41)),0)</f>
        <v>#REF!</v>
      </c>
      <c r="AB42" s="251" t="str">
        <f ca="1">IF(ISERROR(AA42),"",INDEX(INDIRECT(CT_C1toANT!$G$2),SUM(AA$4:AA42)))</f>
        <v/>
      </c>
      <c r="AC42" s="184" t="b">
        <f t="shared" ca="1" si="1"/>
        <v>0</v>
      </c>
      <c r="AD42" s="184" t="e">
        <f ca="1">MATCH(TRUE,OFFSET(INDIRECT($AC$3),SUM($AD$4:$AD41),0),0)</f>
        <v>#N/A</v>
      </c>
      <c r="AE42" s="184" t="e">
        <f ca="1">INDEX(INDIRECT($Z$3),SUM($AD$4:$AD42))</f>
        <v>#N/A</v>
      </c>
      <c r="AF42" s="184" t="b">
        <f ca="1">IF(ISERROR(MATCH(AE42,INDIRECT(ProductTable!$O$4),0)),FALSE,TRUE)</f>
        <v>0</v>
      </c>
      <c r="AG42" s="184" t="e">
        <f ca="1">MATCH(TRUE,OFFSET(INDIRECT($AF$3),SUM($AG$4:$AG41),0),0)</f>
        <v>#N/A</v>
      </c>
      <c r="AH42" s="184" t="str">
        <f ca="1">IF(ISERROR(AG42),"",INDEX(INDIRECT($AE$3),SUM($AG$4:$AG42)))</f>
        <v/>
      </c>
      <c r="AJ42" s="184" t="e">
        <f ca="1">MATCH(TRUE,OFFSET(INDIRECT(INDEX(INDIRECT(CT_SAtoC1!$A$5),MATCH(SelectionTables!$V$4,INDIRECT(CT_SAtoC1!$G$2),0),0)),0,SUM($AJ$4:$AJ41),1,ProductTable!$C$2-SUM($AJ$4:$AJ41)),0)</f>
        <v>#REF!</v>
      </c>
      <c r="AK42" s="251" t="e">
        <f ca="1">INDEX(INDIRECT(CT_SAtoC1!$G$3),1,SUM($AJ$4:$AJ42))</f>
        <v>#REF!</v>
      </c>
      <c r="AL42" s="184" t="e">
        <f ca="1">MATCH(TRUE,OFFSET(INDIRECT(INDEX(INDIRECT(CT_C1toANT!$B$4),0,MATCH(SelectionTables!$U$4,INDIRECT(CT_C1toANT!$G$3),0))),SUM(AL$4:AL41),0,ProductTable!$M$2-SUM(AL$4:AL41)),0)</f>
        <v>#REF!</v>
      </c>
      <c r="AM42" s="251" t="str">
        <f ca="1">IF(ISERROR(AL42),"",INDEX(INDIRECT(CT_C1toANT!$G$2),SUM(AL$4:AL42)))</f>
        <v/>
      </c>
      <c r="AN42" s="184" t="b">
        <f t="shared" ca="1" si="0"/>
        <v>0</v>
      </c>
      <c r="AO42" s="184" t="e">
        <f ca="1">MATCH(TRUE,OFFSET(INDIRECT(AN$3),SUM(AO$4:AO41),0),0)</f>
        <v>#N/A</v>
      </c>
      <c r="AP42" s="184" t="e">
        <f ca="1">INDEX(INDIRECT(AK$3),SUM(AO$4:AO42))</f>
        <v>#N/A</v>
      </c>
      <c r="AQ42" s="184" t="b">
        <f ca="1">IF(ISERROR(MATCH(AP42,INDIRECT(ProductTable!$AI$4),0)),FALSE,TRUE)</f>
        <v>0</v>
      </c>
      <c r="AR42" s="184" t="e">
        <f ca="1">MATCH(TRUE,OFFSET(INDIRECT($AQ$3),SUM($AR$4:$AR41),0),0)</f>
        <v>#N/A</v>
      </c>
      <c r="AS42" s="184" t="str">
        <f ca="1">IF(ISERROR(AR42),"",INDEX(INDIRECT(AP$3),SUM(AR$4:AR42)))</f>
        <v/>
      </c>
      <c r="AU42" s="184">
        <f ca="1">IF(OR(EXACT(SelectionTables!$T$4,ProductTable!$L$7),EXACT(SelectionTables!$T$4,"")),"",ProductTable!T45)</f>
        <v>0</v>
      </c>
      <c r="AW42" s="540" t="e">
        <f ca="1">MATCH(TRUE,OFFSET(INDIRECT(INDEX(INDIRECT(CT_STAtoANT!$A$5),MATCH(SelectionTables!$G$4,INDIRECT(CT_STAtoANT!$G$2),0),0)),0,SUM($AW$4:$AW41),1,ProductTable!$H$2-SUM($AW$4:$AW41)),0)</f>
        <v>#REF!</v>
      </c>
      <c r="AX42" s="541" t="e">
        <f ca="1">INDEX(INDIRECT(CT_STAtoANT!$G$3),1,SUM($AW$4:$AW42))</f>
        <v>#REF!</v>
      </c>
      <c r="AY42" s="541" t="b">
        <f ca="1">IF(ISERROR(MATCH(AX42,INDIRECT(ProductTable!$J$4),0)),FALSE,TRUE)</f>
        <v>0</v>
      </c>
      <c r="AZ42" s="541" t="e">
        <f ca="1">MATCH(TRUE,OFFSET(INDIRECT($AY$3),SUM($AZ$4:$AZ41),0,ProductTable!$H$2-SUM($AZ$4:$AZ41),1),0)</f>
        <v>#REF!</v>
      </c>
      <c r="BA42" s="541" t="str">
        <f ca="1">IF(ISERROR($AZ42),"",INDEX(INDIRECT($AX$3),SUM($AZ$4:$AZ42)))</f>
        <v/>
      </c>
      <c r="BB42" s="541" t="e">
        <f ca="1">MATCH(TRUE,OFFSET(INDIRECT(INDEX(INDIRECT(CT_APtoANT!$A$5),MATCH(SelectionTables!$S$4,INDIRECT(CT_APtoANT!$G$2),0),0)),0,SUM($BB$4:$BB41),1,ProductTable!$H$2-SUM($BB$4:$BB41)),0)</f>
        <v>#REF!</v>
      </c>
      <c r="BC42" s="541" t="e">
        <f ca="1">INDEX(INDIRECT(CT_APtoANT!$G$3),1,SUM($BB$4:$BB42))</f>
        <v>#REF!</v>
      </c>
      <c r="BD42" s="541" t="b">
        <f t="shared" ca="1" si="2"/>
        <v>0</v>
      </c>
      <c r="BE42" s="541" t="e">
        <f ca="1">MATCH(TRUE,OFFSET(INDIRECT($BD$3),SUM($BE$4:$BE41),0,ProductTable!$H$2-SUM($BE$4:$BE41),1),0)</f>
        <v>#REF!</v>
      </c>
      <c r="BF42" s="541" t="str">
        <f ca="1">IF(ISERROR($BE42),"",INDEX(INDIRECT($BA$3),SUM($BE$4:$BE42)))</f>
        <v/>
      </c>
      <c r="BH42" s="541" t="e">
        <f ca="1">MATCH(TRUE,OFFSET(INDIRECT(INDEX(INDIRECT(CT_APtoC1!$A$5),MATCH(SelectionTables!$S$4,INDIRECT(CT_APtoC1!$G$2),0),0)),0,SUM($BH$4:$BH41),1,ProductTable!$AG$2-SUM($BH$4:$BH41)),0)</f>
        <v>#REF!</v>
      </c>
      <c r="BI42" s="541" t="e">
        <f ca="1">INDEX(INDIRECT(CT_APtoC1!$G$3),1,SUM($BH$4:$BH42))</f>
        <v>#REF!</v>
      </c>
      <c r="BJ42" s="541" t="b">
        <f ca="1">IF(ISERROR(MATCH(BI42,INDIRECT(ProductTable!$AI$4),0)),FALSE,TRUE)</f>
        <v>0</v>
      </c>
      <c r="BK42" s="541" t="e">
        <f ca="1">MATCH(TRUE,OFFSET(INDIRECT($BJ$3),SUM($BK$4:$BK41),0,ProductTable!$AG$2-SUM($BK$4:$BK41),1),0)</f>
        <v>#N/A</v>
      </c>
      <c r="BL42" s="541" t="str">
        <f ca="1">IF(ISERROR($BK42),"",INDEX(INDIRECT($BI$3),SUM($BK$4:$BK42)))</f>
        <v/>
      </c>
    </row>
    <row r="43" spans="2:64" x14ac:dyDescent="0.25">
      <c r="B43" s="184" t="e">
        <f ca="1">MATCH(TRUE,OFFSET(INDIRECT(INDEX(INDIRECT(CT_APtoSTA!$B$4),0,MATCH(SelectionTables!$G$4,INDIRECT(CT_APtoSTA!$G$3),0))),SUM($B$4:$B42),0,ProductTable!$C$2-SUM($B$4:$B42)),0)</f>
        <v>#REF!</v>
      </c>
      <c r="C43" s="184" t="e">
        <f ca="1">INDEX(INDIRECT(CT_APtoSTA!$G$2),SUM($B$4:$B43))</f>
        <v>#REF!</v>
      </c>
      <c r="D43" s="184" t="b">
        <f ca="1">IF(ISERROR(MATCH(C43,INDIRECT(ProductTable!$E$4),0)),FALSE,TRUE)</f>
        <v>0</v>
      </c>
      <c r="E43" s="184" t="e">
        <f ca="1">MATCH(TRUE,OFFSET(INDIRECT($D$3),SUM($E$4:$E42),0,ProductTable!$C$2-SUM($E$4:$E42),1),0)</f>
        <v>#N/A</v>
      </c>
      <c r="F43" s="184" t="str">
        <f ca="1">IF(ISERROR($E43),"",INDEX(INDIRECT($C$3),SUM($E$4:$E43)))</f>
        <v/>
      </c>
      <c r="G43" s="92"/>
      <c r="H43" s="268" t="e">
        <f ca="1">MATCH(TRUE,OFFSET(INDIRECT(INDEX(INDIRECT(CT_STAtoWLAN!$A$5),MATCH(SelectionTables!$G$4,INDIRECT(CT_STAtoWLAN!$G$2),0),0)),0,SUM($H$4:$H42),1,ProductTable!$W$2-SUM($H$4:$H42)),0)</f>
        <v>#REF!</v>
      </c>
      <c r="I43" s="251" t="e">
        <f ca="1">INDEX(INDIRECT(CT_STAtoWLAN!$G$3),1,SUM($H$4:$H43))</f>
        <v>#REF!</v>
      </c>
      <c r="J43" s="268" t="e">
        <f ca="1">MATCH(TRUE,OFFSET(INDIRECT(INDEX(INDIRECT(CT_APtoWLAN!$A$5),MATCH(SelectionTables!$S$4,INDIRECT(CT_APtoWLAN!$G$2),0),0)),0,SUM($J$4:$J42),1,ProductTable!$W$2-SUM($J$4:$J42)),0)</f>
        <v>#REF!</v>
      </c>
      <c r="K43" s="251" t="e">
        <f ca="1">INDEX(INDIRECT(CT_APtoWLAN!$G$3),1,SUM($J$4:$J43))</f>
        <v>#REF!</v>
      </c>
      <c r="L43" s="268" t="b">
        <f t="shared" ca="1" si="3"/>
        <v>0</v>
      </c>
      <c r="M43" s="184" t="e">
        <f ca="1">MATCH(TRUE,OFFSET(INDIRECT(L$3),SUM(M$4:M42),0),0)</f>
        <v>#N/A</v>
      </c>
      <c r="N43" s="251" t="e">
        <f ca="1">INDEX(INDIRECT(I$3),SUM(M$4:M43))</f>
        <v>#N/A</v>
      </c>
      <c r="O43" s="184" t="b">
        <f ca="1">IF(ISERROR(MATCH(N43,INDIRECT(ProductTable!$Y$4),0)),FALSE,TRUE)</f>
        <v>0</v>
      </c>
      <c r="P43" s="184" t="e">
        <f ca="1">MATCH(TRUE,OFFSET(INDIRECT(O$3),SUM(P$4:P42),0),0)</f>
        <v>#N/A</v>
      </c>
      <c r="Q43" s="184" t="str">
        <f ca="1">IF(ISERROR(P43),"",INDEX(INDIRECT(N$3),SUM($P$4:$P43)))</f>
        <v/>
      </c>
      <c r="S43" s="134" t="e">
        <f ca="1">MATCH(TRUE,OFFSET(INDIRECT(INDEX(INDIRECT(CT_STAtoANT!$A$5),MATCH(SelectionTables!$G$4,INDIRECT(CT_STAtoANT!$G$2),0),0)),0,SUM($S$4:$S42),1,ProductTable!$H$2-SUM($S$4:$S42)),0)</f>
        <v>#REF!</v>
      </c>
      <c r="T43" s="184" t="e">
        <f ca="1">INDEX(INDIRECT(CT_STAtoANT!$G$3),1,SUM($S$4:$S43))</f>
        <v>#REF!</v>
      </c>
      <c r="U43" s="184" t="b">
        <f ca="1">IF(ISERROR(MATCH(T43,INDIRECT(ProductTable!$J$4),0)),FALSE,TRUE)</f>
        <v>0</v>
      </c>
      <c r="V43" s="184" t="e">
        <f ca="1">MATCH(TRUE,OFFSET(INDIRECT($U$3),SUM($V$4:$V42),0,ProductTable!$H$2-SUM($V$4:$V42),1),0)</f>
        <v>#REF!</v>
      </c>
      <c r="W43" s="184" t="str">
        <f ca="1">IF(ISERROR($V43),"",INDEX(INDIRECT($T$3),SUM($V$4:$V43)))</f>
        <v/>
      </c>
      <c r="Y43" s="184" t="e">
        <f ca="1">MATCH(TRUE,OFFSET(INDIRECT(INDEX(INDIRECT(CT_APtoC1!$A$5),MATCH(SelectionTables!$S$4,INDIRECT(CT_APtoC1!$G$2),0),0)),0,SUM($Y$4:$Y42),1,ProductTable!$C$2-SUM($Y$4:$Y42)),0)</f>
        <v>#REF!</v>
      </c>
      <c r="Z43" s="251" t="e">
        <f ca="1">INDEX(INDIRECT(CT_APtoC1!$G$3),1,SUM($Y$4:$Y43))</f>
        <v>#REF!</v>
      </c>
      <c r="AA43" s="184" t="e">
        <f ca="1">MATCH(TRUE,OFFSET(INDIRECT(INDEX(INDIRECT(CT_C1toANT!$B$4),0,MATCH(SelectionTables!$U$4,INDIRECT(CT_C1toANT!$G$3),0))),SUM(AA$4:AA42),0,ProductTable!$M$2-SUM(AA$4:AA42)),0)</f>
        <v>#REF!</v>
      </c>
      <c r="AB43" s="251" t="str">
        <f ca="1">IF(ISERROR(AA43),"",INDEX(INDIRECT(CT_C1toANT!$G$2),SUM(AA$4:AA43)))</f>
        <v/>
      </c>
      <c r="AC43" s="184" t="b">
        <f t="shared" ca="1" si="1"/>
        <v>0</v>
      </c>
      <c r="AD43" s="184" t="e">
        <f ca="1">MATCH(TRUE,OFFSET(INDIRECT($AC$3),SUM($AD$4:$AD42),0),0)</f>
        <v>#N/A</v>
      </c>
      <c r="AE43" s="184" t="e">
        <f ca="1">INDEX(INDIRECT($Z$3),SUM($AD$4:$AD43))</f>
        <v>#N/A</v>
      </c>
      <c r="AF43" s="184" t="b">
        <f ca="1">IF(ISERROR(MATCH(AE43,INDIRECT(ProductTable!$O$4),0)),FALSE,TRUE)</f>
        <v>0</v>
      </c>
      <c r="AG43" s="184" t="e">
        <f ca="1">MATCH(TRUE,OFFSET(INDIRECT($AF$3),SUM($AG$4:$AG42),0),0)</f>
        <v>#N/A</v>
      </c>
      <c r="AH43" s="184" t="str">
        <f ca="1">IF(ISERROR(AG43),"",INDEX(INDIRECT($AE$3),SUM($AG$4:$AG43)))</f>
        <v/>
      </c>
      <c r="AJ43" s="184" t="e">
        <f ca="1">MATCH(TRUE,OFFSET(INDIRECT(INDEX(INDIRECT(CT_SAtoC1!$A$5),MATCH(SelectionTables!$V$4,INDIRECT(CT_SAtoC1!$G$2),0),0)),0,SUM($AJ$4:$AJ42),1,ProductTable!$C$2-SUM($AJ$4:$AJ42)),0)</f>
        <v>#REF!</v>
      </c>
      <c r="AK43" s="251" t="e">
        <f ca="1">INDEX(INDIRECT(CT_SAtoC1!$G$3),1,SUM($AJ$4:$AJ43))</f>
        <v>#REF!</v>
      </c>
      <c r="AL43" s="184" t="e">
        <f ca="1">MATCH(TRUE,OFFSET(INDIRECT(INDEX(INDIRECT(CT_C1toANT!$B$4),0,MATCH(SelectionTables!$U$4,INDIRECT(CT_C1toANT!$G$3),0))),SUM(AL$4:AL42),0,ProductTable!$M$2-SUM(AL$4:AL42)),0)</f>
        <v>#REF!</v>
      </c>
      <c r="AM43" s="251" t="str">
        <f ca="1">IF(ISERROR(AL43),"",INDEX(INDIRECT(CT_C1toANT!$G$2),SUM(AL$4:AL43)))</f>
        <v/>
      </c>
      <c r="AN43" s="184" t="b">
        <f t="shared" ca="1" si="0"/>
        <v>0</v>
      </c>
      <c r="AO43" s="184" t="e">
        <f ca="1">MATCH(TRUE,OFFSET(INDIRECT(AN$3),SUM(AO$4:AO42),0),0)</f>
        <v>#N/A</v>
      </c>
      <c r="AP43" s="184" t="e">
        <f ca="1">INDEX(INDIRECT(AK$3),SUM(AO$4:AO43))</f>
        <v>#N/A</v>
      </c>
      <c r="AQ43" s="184" t="b">
        <f ca="1">IF(ISERROR(MATCH(AP43,INDIRECT(ProductTable!$AI$4),0)),FALSE,TRUE)</f>
        <v>0</v>
      </c>
      <c r="AR43" s="184" t="e">
        <f ca="1">MATCH(TRUE,OFFSET(INDIRECT($AQ$3),SUM($AR$4:$AR42),0),0)</f>
        <v>#N/A</v>
      </c>
      <c r="AS43" s="184" t="str">
        <f ca="1">IF(ISERROR(AR43),"",INDEX(INDIRECT(AP$3),SUM(AR$4:AR43)))</f>
        <v/>
      </c>
      <c r="AU43" s="184">
        <f ca="1">IF(OR(EXACT(SelectionTables!$T$4,ProductTable!$L$7),EXACT(SelectionTables!$T$4,"")),"",ProductTable!T46)</f>
        <v>0</v>
      </c>
      <c r="AW43" s="540" t="e">
        <f ca="1">MATCH(TRUE,OFFSET(INDIRECT(INDEX(INDIRECT(CT_STAtoANT!$A$5),MATCH(SelectionTables!$G$4,INDIRECT(CT_STAtoANT!$G$2),0),0)),0,SUM($AW$4:$AW42),1,ProductTable!$H$2-SUM($AW$4:$AW42)),0)</f>
        <v>#REF!</v>
      </c>
      <c r="AX43" s="541" t="e">
        <f ca="1">INDEX(INDIRECT(CT_STAtoANT!$G$3),1,SUM($AW$4:$AW43))</f>
        <v>#REF!</v>
      </c>
      <c r="AY43" s="541" t="b">
        <f ca="1">IF(ISERROR(MATCH(AX43,INDIRECT(ProductTable!$J$4),0)),FALSE,TRUE)</f>
        <v>0</v>
      </c>
      <c r="AZ43" s="541" t="e">
        <f ca="1">MATCH(TRUE,OFFSET(INDIRECT($AY$3),SUM($AZ$4:$AZ42),0,ProductTable!$H$2-SUM($AZ$4:$AZ42),1),0)</f>
        <v>#REF!</v>
      </c>
      <c r="BA43" s="541" t="str">
        <f ca="1">IF(ISERROR($AZ43),"",INDEX(INDIRECT($AX$3),SUM($AZ$4:$AZ43)))</f>
        <v/>
      </c>
      <c r="BB43" s="541" t="e">
        <f ca="1">MATCH(TRUE,OFFSET(INDIRECT(INDEX(INDIRECT(CT_APtoANT!$A$5),MATCH(SelectionTables!$S$4,INDIRECT(CT_APtoANT!$G$2),0),0)),0,SUM($BB$4:$BB42),1,ProductTable!$H$2-SUM($BB$4:$BB42)),0)</f>
        <v>#REF!</v>
      </c>
      <c r="BC43" s="541" t="e">
        <f ca="1">INDEX(INDIRECT(CT_APtoANT!$G$3),1,SUM($BB$4:$BB43))</f>
        <v>#REF!</v>
      </c>
      <c r="BD43" s="541" t="b">
        <f t="shared" ca="1" si="2"/>
        <v>0</v>
      </c>
      <c r="BE43" s="541" t="e">
        <f ca="1">MATCH(TRUE,OFFSET(INDIRECT($BD$3),SUM($BE$4:$BE42),0,ProductTable!$H$2-SUM($BE$4:$BE42),1),0)</f>
        <v>#REF!</v>
      </c>
      <c r="BF43" s="541" t="str">
        <f ca="1">IF(ISERROR($BE43),"",INDEX(INDIRECT($BA$3),SUM($BE$4:$BE43)))</f>
        <v/>
      </c>
      <c r="BH43" s="541" t="e">
        <f ca="1">MATCH(TRUE,OFFSET(INDIRECT(INDEX(INDIRECT(CT_APtoC1!$A$5),MATCH(SelectionTables!$S$4,INDIRECT(CT_APtoC1!$G$2),0),0)),0,SUM($BH$4:$BH42),1,ProductTable!$AG$2-SUM($BH$4:$BH42)),0)</f>
        <v>#REF!</v>
      </c>
      <c r="BI43" s="541" t="e">
        <f ca="1">INDEX(INDIRECT(CT_APtoC1!$G$3),1,SUM($BH$4:$BH43))</f>
        <v>#REF!</v>
      </c>
      <c r="BJ43" s="541" t="b">
        <f ca="1">IF(ISERROR(MATCH(BI43,INDIRECT(ProductTable!$AI$4),0)),FALSE,TRUE)</f>
        <v>0</v>
      </c>
      <c r="BK43" s="541" t="e">
        <f ca="1">MATCH(TRUE,OFFSET(INDIRECT($BJ$3),SUM($BK$4:$BK42),0,ProductTable!$AG$2-SUM($BK$4:$BK42),1),0)</f>
        <v>#N/A</v>
      </c>
      <c r="BL43" s="541" t="str">
        <f ca="1">IF(ISERROR($BK43),"",INDEX(INDIRECT($BI$3),SUM($BK$4:$BK43)))</f>
        <v/>
      </c>
    </row>
    <row r="44" spans="2:64" x14ac:dyDescent="0.25">
      <c r="B44" s="184" t="e">
        <f ca="1">MATCH(TRUE,OFFSET(INDIRECT(INDEX(INDIRECT(CT_APtoSTA!$B$4),0,MATCH(SelectionTables!$G$4,INDIRECT(CT_APtoSTA!$G$3),0))),SUM($B$4:$B43),0,ProductTable!$C$2-SUM($B$4:$B43)),0)</f>
        <v>#REF!</v>
      </c>
      <c r="C44" s="184" t="e">
        <f ca="1">INDEX(INDIRECT(CT_APtoSTA!$G$2),SUM($B$4:$B44))</f>
        <v>#REF!</v>
      </c>
      <c r="D44" s="184" t="b">
        <f ca="1">IF(ISERROR(MATCH(C44,INDIRECT(ProductTable!$E$4),0)),FALSE,TRUE)</f>
        <v>0</v>
      </c>
      <c r="E44" s="184" t="e">
        <f ca="1">MATCH(TRUE,OFFSET(INDIRECT($D$3),SUM($E$4:$E43),0,ProductTable!$C$2-SUM($E$4:$E43),1),0)</f>
        <v>#N/A</v>
      </c>
      <c r="F44" s="184" t="str">
        <f ca="1">IF(ISERROR($E44),"",INDEX(INDIRECT($C$3),SUM($E$4:$E44)))</f>
        <v/>
      </c>
      <c r="G44" s="92"/>
      <c r="H44" s="268" t="e">
        <f ca="1">MATCH(TRUE,OFFSET(INDIRECT(INDEX(INDIRECT(CT_STAtoWLAN!$A$5),MATCH(SelectionTables!$G$4,INDIRECT(CT_STAtoWLAN!$G$2),0),0)),0,SUM($H$4:$H43),1,ProductTable!$W$2-SUM($H$4:$H43)),0)</f>
        <v>#REF!</v>
      </c>
      <c r="I44" s="251" t="e">
        <f ca="1">INDEX(INDIRECT(CT_STAtoWLAN!$G$3),1,SUM($H$4:$H44))</f>
        <v>#REF!</v>
      </c>
      <c r="J44" s="268" t="e">
        <f ca="1">MATCH(TRUE,OFFSET(INDIRECT(INDEX(INDIRECT(CT_APtoWLAN!$A$5),MATCH(SelectionTables!$S$4,INDIRECT(CT_APtoWLAN!$G$2),0),0)),0,SUM($J$4:$J43),1,ProductTable!$W$2-SUM($J$4:$J43)),0)</f>
        <v>#REF!</v>
      </c>
      <c r="K44" s="251" t="e">
        <f ca="1">INDEX(INDIRECT(CT_APtoWLAN!$G$3),1,SUM($J$4:$J44))</f>
        <v>#REF!</v>
      </c>
      <c r="L44" s="268" t="b">
        <f t="shared" ca="1" si="3"/>
        <v>0</v>
      </c>
      <c r="M44" s="184" t="e">
        <f ca="1">MATCH(TRUE,OFFSET(INDIRECT(L$3),SUM(M$4:M43),0),0)</f>
        <v>#N/A</v>
      </c>
      <c r="N44" s="251" t="e">
        <f ca="1">INDEX(INDIRECT(I$3),SUM(M$4:M44))</f>
        <v>#N/A</v>
      </c>
      <c r="O44" s="184" t="b">
        <f ca="1">IF(ISERROR(MATCH(N44,INDIRECT(ProductTable!$Y$4),0)),FALSE,TRUE)</f>
        <v>0</v>
      </c>
      <c r="P44" s="184" t="e">
        <f ca="1">MATCH(TRUE,OFFSET(INDIRECT(O$3),SUM(P$4:P43),0),0)</f>
        <v>#N/A</v>
      </c>
      <c r="Q44" s="184" t="str">
        <f ca="1">IF(ISERROR(P44),"",INDEX(INDIRECT(N$3),SUM($P$4:$P44)))</f>
        <v/>
      </c>
      <c r="S44" s="134" t="e">
        <f ca="1">MATCH(TRUE,OFFSET(INDIRECT(INDEX(INDIRECT(CT_STAtoANT!$A$5),MATCH(SelectionTables!$G$4,INDIRECT(CT_STAtoANT!$G$2),0),0)),0,SUM($S$4:$S43),1,ProductTable!$H$2-SUM($S$4:$S43)),0)</f>
        <v>#REF!</v>
      </c>
      <c r="T44" s="184" t="e">
        <f ca="1">INDEX(INDIRECT(CT_STAtoANT!$G$3),1,SUM($S$4:$S44))</f>
        <v>#REF!</v>
      </c>
      <c r="U44" s="184" t="b">
        <f ca="1">IF(ISERROR(MATCH(T44,INDIRECT(ProductTable!$J$4),0)),FALSE,TRUE)</f>
        <v>0</v>
      </c>
      <c r="V44" s="184" t="e">
        <f ca="1">MATCH(TRUE,OFFSET(INDIRECT($U$3),SUM($V$4:$V43),0,ProductTable!$H$2-SUM($V$4:$V43),1),0)</f>
        <v>#REF!</v>
      </c>
      <c r="W44" s="184" t="str">
        <f ca="1">IF(ISERROR($V44),"",INDEX(INDIRECT($T$3),SUM($V$4:$V44)))</f>
        <v/>
      </c>
      <c r="Y44" s="184" t="e">
        <f ca="1">MATCH(TRUE,OFFSET(INDIRECT(INDEX(INDIRECT(CT_APtoC1!$A$5),MATCH(SelectionTables!$S$4,INDIRECT(CT_APtoC1!$G$2),0),0)),0,SUM($Y$4:$Y43),1,ProductTable!$C$2-SUM($Y$4:$Y43)),0)</f>
        <v>#REF!</v>
      </c>
      <c r="Z44" s="251" t="e">
        <f ca="1">INDEX(INDIRECT(CT_APtoC1!$G$3),1,SUM($Y$4:$Y44))</f>
        <v>#REF!</v>
      </c>
      <c r="AA44" s="184" t="e">
        <f ca="1">MATCH(TRUE,OFFSET(INDIRECT(INDEX(INDIRECT(CT_C1toANT!$B$4),0,MATCH(SelectionTables!$U$4,INDIRECT(CT_C1toANT!$G$3),0))),SUM(AA$4:AA43),0,ProductTable!$M$2-SUM(AA$4:AA43)),0)</f>
        <v>#REF!</v>
      </c>
      <c r="AB44" s="251" t="str">
        <f ca="1">IF(ISERROR(AA44),"",INDEX(INDIRECT(CT_C1toANT!$G$2),SUM(AA$4:AA44)))</f>
        <v/>
      </c>
      <c r="AC44" s="184" t="b">
        <f t="shared" ca="1" si="1"/>
        <v>0</v>
      </c>
      <c r="AD44" s="184" t="e">
        <f ca="1">MATCH(TRUE,OFFSET(INDIRECT($AC$3),SUM($AD$4:$AD43),0),0)</f>
        <v>#N/A</v>
      </c>
      <c r="AE44" s="184" t="e">
        <f ca="1">INDEX(INDIRECT($Z$3),SUM($AD$4:$AD44))</f>
        <v>#N/A</v>
      </c>
      <c r="AF44" s="184" t="b">
        <f ca="1">IF(ISERROR(MATCH(AE44,INDIRECT(ProductTable!$O$4),0)),FALSE,TRUE)</f>
        <v>0</v>
      </c>
      <c r="AG44" s="184" t="e">
        <f ca="1">MATCH(TRUE,OFFSET(INDIRECT($AF$3),SUM($AG$4:$AG43),0),0)</f>
        <v>#N/A</v>
      </c>
      <c r="AH44" s="184" t="str">
        <f ca="1">IF(ISERROR(AG44),"",INDEX(INDIRECT($AE$3),SUM($AG$4:$AG44)))</f>
        <v/>
      </c>
      <c r="AJ44" s="184" t="e">
        <f ca="1">MATCH(TRUE,OFFSET(INDIRECT(INDEX(INDIRECT(CT_SAtoC1!$A$5),MATCH(SelectionTables!$V$4,INDIRECT(CT_SAtoC1!$G$2),0),0)),0,SUM($AJ$4:$AJ43),1,ProductTable!$C$2-SUM($AJ$4:$AJ43)),0)</f>
        <v>#REF!</v>
      </c>
      <c r="AK44" s="251" t="e">
        <f ca="1">INDEX(INDIRECT(CT_SAtoC1!$G$3),1,SUM($AJ$4:$AJ44))</f>
        <v>#REF!</v>
      </c>
      <c r="AL44" s="184" t="e">
        <f ca="1">MATCH(TRUE,OFFSET(INDIRECT(INDEX(INDIRECT(CT_C1toANT!$B$4),0,MATCH(SelectionTables!$U$4,INDIRECT(CT_C1toANT!$G$3),0))),SUM(AL$4:AL43),0,ProductTable!$M$2-SUM(AL$4:AL43)),0)</f>
        <v>#REF!</v>
      </c>
      <c r="AM44" s="251" t="str">
        <f ca="1">IF(ISERROR(AL44),"",INDEX(INDIRECT(CT_C1toANT!$G$2),SUM(AL$4:AL44)))</f>
        <v/>
      </c>
      <c r="AN44" s="184" t="b">
        <f t="shared" ca="1" si="0"/>
        <v>0</v>
      </c>
      <c r="AO44" s="184" t="e">
        <f ca="1">MATCH(TRUE,OFFSET(INDIRECT(AN$3),SUM(AO$4:AO43),0),0)</f>
        <v>#N/A</v>
      </c>
      <c r="AP44" s="184" t="e">
        <f ca="1">INDEX(INDIRECT(AK$3),SUM(AO$4:AO44))</f>
        <v>#N/A</v>
      </c>
      <c r="AQ44" s="184" t="b">
        <f ca="1">IF(ISERROR(MATCH(AP44,INDIRECT(ProductTable!$AI$4),0)),FALSE,TRUE)</f>
        <v>0</v>
      </c>
      <c r="AR44" s="184" t="e">
        <f ca="1">MATCH(TRUE,OFFSET(INDIRECT($AQ$3),SUM($AR$4:$AR43),0),0)</f>
        <v>#N/A</v>
      </c>
      <c r="AS44" s="184" t="str">
        <f ca="1">IF(ISERROR(AR44),"",INDEX(INDIRECT(AP$3),SUM(AR$4:AR44)))</f>
        <v/>
      </c>
      <c r="AU44" s="184">
        <f ca="1">IF(OR(EXACT(SelectionTables!$T$4,ProductTable!$L$7),EXACT(SelectionTables!$T$4,"")),"",ProductTable!T47)</f>
        <v>0</v>
      </c>
      <c r="AW44" s="540" t="e">
        <f ca="1">MATCH(TRUE,OFFSET(INDIRECT(INDEX(INDIRECT(CT_STAtoANT!$A$5),MATCH(SelectionTables!$G$4,INDIRECT(CT_STAtoANT!$G$2),0),0)),0,SUM($AW$4:$AW43),1,ProductTable!$H$2-SUM($AW$4:$AW43)),0)</f>
        <v>#REF!</v>
      </c>
      <c r="AX44" s="541" t="e">
        <f ca="1">INDEX(INDIRECT(CT_STAtoANT!$G$3),1,SUM($AW$4:$AW44))</f>
        <v>#REF!</v>
      </c>
      <c r="AY44" s="541" t="b">
        <f ca="1">IF(ISERROR(MATCH(AX44,INDIRECT(ProductTable!$J$4),0)),FALSE,TRUE)</f>
        <v>0</v>
      </c>
      <c r="AZ44" s="541" t="e">
        <f ca="1">MATCH(TRUE,OFFSET(INDIRECT($AY$3),SUM($AZ$4:$AZ43),0,ProductTable!$H$2-SUM($AZ$4:$AZ43),1),0)</f>
        <v>#REF!</v>
      </c>
      <c r="BA44" s="541" t="str">
        <f ca="1">IF(ISERROR($AZ44),"",INDEX(INDIRECT($AX$3),SUM($AZ$4:$AZ44)))</f>
        <v/>
      </c>
      <c r="BB44" s="541" t="e">
        <f ca="1">MATCH(TRUE,OFFSET(INDIRECT(INDEX(INDIRECT(CT_APtoANT!$A$5),MATCH(SelectionTables!$S$4,INDIRECT(CT_APtoANT!$G$2),0),0)),0,SUM($BB$4:$BB43),1,ProductTable!$H$2-SUM($BB$4:$BB43)),0)</f>
        <v>#REF!</v>
      </c>
      <c r="BC44" s="541" t="e">
        <f ca="1">INDEX(INDIRECT(CT_APtoANT!$G$3),1,SUM($BB$4:$BB44))</f>
        <v>#REF!</v>
      </c>
      <c r="BD44" s="541" t="b">
        <f t="shared" ca="1" si="2"/>
        <v>0</v>
      </c>
      <c r="BE44" s="541" t="e">
        <f ca="1">MATCH(TRUE,OFFSET(INDIRECT($BD$3),SUM($BE$4:$BE43),0,ProductTable!$H$2-SUM($BE$4:$BE43),1),0)</f>
        <v>#REF!</v>
      </c>
      <c r="BF44" s="541" t="str">
        <f ca="1">IF(ISERROR($BE44),"",INDEX(INDIRECT($BA$3),SUM($BE$4:$BE44)))</f>
        <v/>
      </c>
      <c r="BH44" s="541" t="e">
        <f ca="1">MATCH(TRUE,OFFSET(INDIRECT(INDEX(INDIRECT(CT_APtoC1!$A$5),MATCH(SelectionTables!$S$4,INDIRECT(CT_APtoC1!$G$2),0),0)),0,SUM($BH$4:$BH43),1,ProductTable!$AG$2-SUM($BH$4:$BH43)),0)</f>
        <v>#REF!</v>
      </c>
      <c r="BI44" s="541" t="e">
        <f ca="1">INDEX(INDIRECT(CT_APtoC1!$G$3),1,SUM($BH$4:$BH44))</f>
        <v>#REF!</v>
      </c>
      <c r="BJ44" s="541" t="b">
        <f ca="1">IF(ISERROR(MATCH(BI44,INDIRECT(ProductTable!$AI$4),0)),FALSE,TRUE)</f>
        <v>0</v>
      </c>
      <c r="BK44" s="541" t="e">
        <f ca="1">MATCH(TRUE,OFFSET(INDIRECT($BJ$3),SUM($BK$4:$BK43),0,ProductTable!$AG$2-SUM($BK$4:$BK43),1),0)</f>
        <v>#N/A</v>
      </c>
      <c r="BL44" s="541" t="str">
        <f ca="1">IF(ISERROR($BK44),"",INDEX(INDIRECT($BI$3),SUM($BK$4:$BK44)))</f>
        <v/>
      </c>
    </row>
    <row r="45" spans="2:64" x14ac:dyDescent="0.25">
      <c r="B45" s="184" t="e">
        <f ca="1">MATCH(TRUE,OFFSET(INDIRECT(INDEX(INDIRECT(CT_APtoSTA!$B$4),0,MATCH(SelectionTables!$G$4,INDIRECT(CT_APtoSTA!$G$3),0))),SUM($B$4:$B44),0,ProductTable!$C$2-SUM($B$4:$B44)),0)</f>
        <v>#REF!</v>
      </c>
      <c r="C45" s="184" t="e">
        <f ca="1">INDEX(INDIRECT(CT_APtoSTA!$G$2),SUM($B$4:$B45))</f>
        <v>#REF!</v>
      </c>
      <c r="D45" s="184" t="b">
        <f ca="1">IF(ISERROR(MATCH(C45,INDIRECT(ProductTable!$E$4),0)),FALSE,TRUE)</f>
        <v>0</v>
      </c>
      <c r="E45" s="184" t="e">
        <f ca="1">MATCH(TRUE,OFFSET(INDIRECT($D$3),SUM($E$4:$E44),0,ProductTable!$C$2-SUM($E$4:$E44),1),0)</f>
        <v>#N/A</v>
      </c>
      <c r="F45" s="184" t="str">
        <f ca="1">IF(ISERROR($E45),"",INDEX(INDIRECT($C$3),SUM($E$4:$E45)))</f>
        <v/>
      </c>
      <c r="G45" s="92"/>
      <c r="H45" s="268" t="e">
        <f ca="1">MATCH(TRUE,OFFSET(INDIRECT(INDEX(INDIRECT(CT_STAtoWLAN!$A$5),MATCH(SelectionTables!$G$4,INDIRECT(CT_STAtoWLAN!$G$2),0),0)),0,SUM($H$4:$H44),1,ProductTable!$W$2-SUM($H$4:$H44)),0)</f>
        <v>#REF!</v>
      </c>
      <c r="I45" s="251" t="e">
        <f ca="1">INDEX(INDIRECT(CT_STAtoWLAN!$G$3),1,SUM($H$4:$H45))</f>
        <v>#REF!</v>
      </c>
      <c r="J45" s="268" t="e">
        <f ca="1">MATCH(TRUE,OFFSET(INDIRECT(INDEX(INDIRECT(CT_APtoWLAN!$A$5),MATCH(SelectionTables!$S$4,INDIRECT(CT_APtoWLAN!$G$2),0),0)),0,SUM($J$4:$J44),1,ProductTable!$W$2-SUM($J$4:$J44)),0)</f>
        <v>#REF!</v>
      </c>
      <c r="K45" s="251" t="e">
        <f ca="1">INDEX(INDIRECT(CT_APtoWLAN!$G$3),1,SUM($J$4:$J45))</f>
        <v>#REF!</v>
      </c>
      <c r="L45" s="268" t="b">
        <f t="shared" ca="1" si="3"/>
        <v>0</v>
      </c>
      <c r="M45" s="184" t="e">
        <f ca="1">MATCH(TRUE,OFFSET(INDIRECT(L$3),SUM(M$4:M44),0),0)</f>
        <v>#N/A</v>
      </c>
      <c r="N45" s="251" t="e">
        <f ca="1">INDEX(INDIRECT(I$3),SUM(M$4:M45))</f>
        <v>#N/A</v>
      </c>
      <c r="O45" s="184" t="b">
        <f ca="1">IF(ISERROR(MATCH(N45,INDIRECT(ProductTable!$Y$4),0)),FALSE,TRUE)</f>
        <v>0</v>
      </c>
      <c r="P45" s="184" t="e">
        <f ca="1">MATCH(TRUE,OFFSET(INDIRECT(O$3),SUM(P$4:P44),0),0)</f>
        <v>#N/A</v>
      </c>
      <c r="Q45" s="184" t="str">
        <f ca="1">IF(ISERROR(P45),"",INDEX(INDIRECT(N$3),SUM($P$4:$P45)))</f>
        <v/>
      </c>
      <c r="S45" s="134" t="e">
        <f ca="1">MATCH(TRUE,OFFSET(INDIRECT(INDEX(INDIRECT(CT_STAtoANT!$A$5),MATCH(SelectionTables!$G$4,INDIRECT(CT_STAtoANT!$G$2),0),0)),0,SUM($S$4:$S44),1,ProductTable!$H$2-SUM($S$4:$S44)),0)</f>
        <v>#REF!</v>
      </c>
      <c r="T45" s="184" t="e">
        <f ca="1">INDEX(INDIRECT(CT_STAtoANT!$G$3),1,SUM($S$4:$S45))</f>
        <v>#REF!</v>
      </c>
      <c r="U45" s="184" t="b">
        <f ca="1">IF(ISERROR(MATCH(T45,INDIRECT(ProductTable!$J$4),0)),FALSE,TRUE)</f>
        <v>0</v>
      </c>
      <c r="V45" s="184" t="e">
        <f ca="1">MATCH(TRUE,OFFSET(INDIRECT($U$3),SUM($V$4:$V44),0,ProductTable!$H$2-SUM($V$4:$V44),1),0)</f>
        <v>#REF!</v>
      </c>
      <c r="W45" s="184" t="str">
        <f ca="1">IF(ISERROR($V45),"",INDEX(INDIRECT($T$3),SUM($V$4:$V45)))</f>
        <v/>
      </c>
      <c r="Y45" s="184" t="e">
        <f ca="1">MATCH(TRUE,OFFSET(INDIRECT(INDEX(INDIRECT(CT_APtoC1!$A$5),MATCH(SelectionTables!$S$4,INDIRECT(CT_APtoC1!$G$2),0),0)),0,SUM($Y$4:$Y44),1,ProductTable!$C$2-SUM($Y$4:$Y44)),0)</f>
        <v>#REF!</v>
      </c>
      <c r="Z45" s="251" t="e">
        <f ca="1">INDEX(INDIRECT(CT_APtoC1!$G$3),1,SUM($Y$4:$Y45))</f>
        <v>#REF!</v>
      </c>
      <c r="AA45" s="184" t="e">
        <f ca="1">MATCH(TRUE,OFFSET(INDIRECT(INDEX(INDIRECT(CT_C1toANT!$B$4),0,MATCH(SelectionTables!$U$4,INDIRECT(CT_C1toANT!$G$3),0))),SUM(AA$4:AA44),0,ProductTable!$M$2-SUM(AA$4:AA44)),0)</f>
        <v>#REF!</v>
      </c>
      <c r="AB45" s="251" t="str">
        <f ca="1">IF(ISERROR(AA45),"",INDEX(INDIRECT(CT_C1toANT!$G$2),SUM(AA$4:AA45)))</f>
        <v/>
      </c>
      <c r="AC45" s="184" t="b">
        <f t="shared" ca="1" si="1"/>
        <v>0</v>
      </c>
      <c r="AD45" s="184" t="e">
        <f ca="1">MATCH(TRUE,OFFSET(INDIRECT($AC$3),SUM($AD$4:$AD44),0),0)</f>
        <v>#N/A</v>
      </c>
      <c r="AE45" s="184" t="e">
        <f ca="1">INDEX(INDIRECT($Z$3),SUM($AD$4:$AD45))</f>
        <v>#N/A</v>
      </c>
      <c r="AF45" s="184" t="b">
        <f ca="1">IF(ISERROR(MATCH(AE45,INDIRECT(ProductTable!$O$4),0)),FALSE,TRUE)</f>
        <v>0</v>
      </c>
      <c r="AG45" s="184" t="e">
        <f ca="1">MATCH(TRUE,OFFSET(INDIRECT($AF$3),SUM($AG$4:$AG44),0),0)</f>
        <v>#N/A</v>
      </c>
      <c r="AH45" s="184" t="str">
        <f ca="1">IF(ISERROR(AG45),"",INDEX(INDIRECT($AE$3),SUM($AG$4:$AG45)))</f>
        <v/>
      </c>
      <c r="AJ45" s="184" t="e">
        <f ca="1">MATCH(TRUE,OFFSET(INDIRECT(INDEX(INDIRECT(CT_SAtoC1!$A$5),MATCH(SelectionTables!$V$4,INDIRECT(CT_SAtoC1!$G$2),0),0)),0,SUM($AJ$4:$AJ44),1,ProductTable!$C$2-SUM($AJ$4:$AJ44)),0)</f>
        <v>#REF!</v>
      </c>
      <c r="AK45" s="251" t="e">
        <f ca="1">INDEX(INDIRECT(CT_SAtoC1!$G$3),1,SUM($AJ$4:$AJ45))</f>
        <v>#REF!</v>
      </c>
      <c r="AL45" s="184" t="e">
        <f ca="1">MATCH(TRUE,OFFSET(INDIRECT(INDEX(INDIRECT(CT_C1toANT!$B$4),0,MATCH(SelectionTables!$U$4,INDIRECT(CT_C1toANT!$G$3),0))),SUM(AL$4:AL44),0,ProductTable!$M$2-SUM(AL$4:AL44)),0)</f>
        <v>#REF!</v>
      </c>
      <c r="AM45" s="251" t="str">
        <f ca="1">IF(ISERROR(AL45),"",INDEX(INDIRECT(CT_C1toANT!$G$2),SUM(AL$4:AL45)))</f>
        <v/>
      </c>
      <c r="AN45" s="184" t="b">
        <f t="shared" ca="1" si="0"/>
        <v>0</v>
      </c>
      <c r="AO45" s="184" t="e">
        <f ca="1">MATCH(TRUE,OFFSET(INDIRECT(AN$3),SUM(AO$4:AO44),0),0)</f>
        <v>#N/A</v>
      </c>
      <c r="AP45" s="184" t="e">
        <f ca="1">INDEX(INDIRECT(AK$3),SUM(AO$4:AO45))</f>
        <v>#N/A</v>
      </c>
      <c r="AQ45" s="184" t="b">
        <f ca="1">IF(ISERROR(MATCH(AP45,INDIRECT(ProductTable!$AI$4),0)),FALSE,TRUE)</f>
        <v>0</v>
      </c>
      <c r="AR45" s="184" t="e">
        <f ca="1">MATCH(TRUE,OFFSET(INDIRECT($AQ$3),SUM($AR$4:$AR44),0),0)</f>
        <v>#N/A</v>
      </c>
      <c r="AS45" s="184" t="str">
        <f ca="1">IF(ISERROR(AR45),"",INDEX(INDIRECT(AP$3),SUM(AR$4:AR45)))</f>
        <v/>
      </c>
      <c r="AU45" s="184">
        <f ca="1">IF(OR(EXACT(SelectionTables!$T$4,ProductTable!$L$7),EXACT(SelectionTables!$T$4,"")),"",ProductTable!T48)</f>
        <v>0</v>
      </c>
      <c r="AW45" s="540" t="e">
        <f ca="1">MATCH(TRUE,OFFSET(INDIRECT(INDEX(INDIRECT(CT_STAtoANT!$A$5),MATCH(SelectionTables!$G$4,INDIRECT(CT_STAtoANT!$G$2),0),0)),0,SUM($AW$4:$AW44),1,ProductTable!$H$2-SUM($AW$4:$AW44)),0)</f>
        <v>#REF!</v>
      </c>
      <c r="AX45" s="541" t="e">
        <f ca="1">INDEX(INDIRECT(CT_STAtoANT!$G$3),1,SUM($AW$4:$AW45))</f>
        <v>#REF!</v>
      </c>
      <c r="AY45" s="541" t="b">
        <f ca="1">IF(ISERROR(MATCH(AX45,INDIRECT(ProductTable!$J$4),0)),FALSE,TRUE)</f>
        <v>0</v>
      </c>
      <c r="AZ45" s="541" t="e">
        <f ca="1">MATCH(TRUE,OFFSET(INDIRECT($AY$3),SUM($AZ$4:$AZ44),0,ProductTable!$H$2-SUM($AZ$4:$AZ44),1),0)</f>
        <v>#REF!</v>
      </c>
      <c r="BA45" s="541" t="str">
        <f ca="1">IF(ISERROR($AZ45),"",INDEX(INDIRECT($AX$3),SUM($AZ$4:$AZ45)))</f>
        <v/>
      </c>
      <c r="BB45" s="541" t="e">
        <f ca="1">MATCH(TRUE,OFFSET(INDIRECT(INDEX(INDIRECT(CT_APtoANT!$A$5),MATCH(SelectionTables!$S$4,INDIRECT(CT_APtoANT!$G$2),0),0)),0,SUM($BB$4:$BB44),1,ProductTable!$H$2-SUM($BB$4:$BB44)),0)</f>
        <v>#REF!</v>
      </c>
      <c r="BC45" s="541" t="e">
        <f ca="1">INDEX(INDIRECT(CT_APtoANT!$G$3),1,SUM($BB$4:$BB45))</f>
        <v>#REF!</v>
      </c>
      <c r="BD45" s="541" t="b">
        <f t="shared" ca="1" si="2"/>
        <v>0</v>
      </c>
      <c r="BE45" s="541" t="e">
        <f ca="1">MATCH(TRUE,OFFSET(INDIRECT($BD$3),SUM($BE$4:$BE44),0,ProductTable!$H$2-SUM($BE$4:$BE44),1),0)</f>
        <v>#REF!</v>
      </c>
      <c r="BF45" s="541" t="str">
        <f ca="1">IF(ISERROR($BE45),"",INDEX(INDIRECT($BA$3),SUM($BE$4:$BE45)))</f>
        <v/>
      </c>
      <c r="BH45" s="541" t="e">
        <f ca="1">MATCH(TRUE,OFFSET(INDIRECT(INDEX(INDIRECT(CT_APtoC1!$A$5),MATCH(SelectionTables!$S$4,INDIRECT(CT_APtoC1!$G$2),0),0)),0,SUM($BH$4:$BH44),1,ProductTable!$AG$2-SUM($BH$4:$BH44)),0)</f>
        <v>#REF!</v>
      </c>
      <c r="BI45" s="541" t="e">
        <f ca="1">INDEX(INDIRECT(CT_APtoC1!$G$3),1,SUM($BH$4:$BH45))</f>
        <v>#REF!</v>
      </c>
      <c r="BJ45" s="541" t="b">
        <f ca="1">IF(ISERROR(MATCH(BI45,INDIRECT(ProductTable!$AI$4),0)),FALSE,TRUE)</f>
        <v>0</v>
      </c>
      <c r="BK45" s="541" t="e">
        <f ca="1">MATCH(TRUE,OFFSET(INDIRECT($BJ$3),SUM($BK$4:$BK44),0,ProductTable!$AG$2-SUM($BK$4:$BK44),1),0)</f>
        <v>#N/A</v>
      </c>
      <c r="BL45" s="541" t="str">
        <f ca="1">IF(ISERROR($BK45),"",INDEX(INDIRECT($BI$3),SUM($BK$4:$BK45)))</f>
        <v/>
      </c>
    </row>
    <row r="46" spans="2:64" x14ac:dyDescent="0.25">
      <c r="B46" s="184" t="e">
        <f ca="1">MATCH(TRUE,OFFSET(INDIRECT(INDEX(INDIRECT(CT_APtoSTA!$B$4),0,MATCH(SelectionTables!$G$4,INDIRECT(CT_APtoSTA!$G$3),0))),SUM($B$4:$B45),0,ProductTable!$C$2-SUM($B$4:$B45)),0)</f>
        <v>#REF!</v>
      </c>
      <c r="C46" s="184" t="e">
        <f ca="1">INDEX(INDIRECT(CT_APtoSTA!$G$2),SUM($B$4:$B46))</f>
        <v>#REF!</v>
      </c>
      <c r="D46" s="184" t="b">
        <f ca="1">IF(ISERROR(MATCH(C46,INDIRECT(ProductTable!$E$4),0)),FALSE,TRUE)</f>
        <v>0</v>
      </c>
      <c r="E46" s="184" t="e">
        <f ca="1">MATCH(TRUE,OFFSET(INDIRECT($D$3),SUM($E$4:$E45),0,ProductTable!$C$2-SUM($E$4:$E45),1),0)</f>
        <v>#N/A</v>
      </c>
      <c r="F46" s="184" t="str">
        <f ca="1">IF(ISERROR($E46),"",INDEX(INDIRECT($C$3),SUM($E$4:$E46)))</f>
        <v/>
      </c>
    </row>
    <row r="47" spans="2:64" x14ac:dyDescent="0.25">
      <c r="B47" s="184" t="e">
        <f ca="1">MATCH(TRUE,OFFSET(INDIRECT(INDEX(INDIRECT(CT_APtoSTA!$B$4),0,MATCH(SelectionTables!$G$4,INDIRECT(CT_APtoSTA!$G$3),0))),SUM($B$4:$B46),0,ProductTable!$C$2-SUM($B$4:$B46)),0)</f>
        <v>#REF!</v>
      </c>
      <c r="C47" s="184" t="e">
        <f ca="1">INDEX(INDIRECT(CT_APtoSTA!$G$2),SUM($B$4:$B47))</f>
        <v>#REF!</v>
      </c>
      <c r="D47" s="184" t="b">
        <f ca="1">IF(ISERROR(MATCH(C47,INDIRECT(ProductTable!$E$4),0)),FALSE,TRUE)</f>
        <v>0</v>
      </c>
      <c r="E47" s="184" t="e">
        <f ca="1">MATCH(TRUE,OFFSET(INDIRECT($D$3),SUM($E$4:$E46),0,ProductTable!$C$2-SUM($E$4:$E46),1),0)</f>
        <v>#N/A</v>
      </c>
      <c r="F47" s="184" t="str">
        <f ca="1">IF(ISERROR($E47),"",INDEX(INDIRECT($C$3),SUM($E$4:$E47)))</f>
        <v/>
      </c>
    </row>
    <row r="48" spans="2:64" x14ac:dyDescent="0.25">
      <c r="B48" s="184" t="e">
        <f ca="1">MATCH(TRUE,OFFSET(INDIRECT(INDEX(INDIRECT(CT_APtoSTA!$B$4),0,MATCH(SelectionTables!$G$4,INDIRECT(CT_APtoSTA!$G$3),0))),SUM($B$4:$B47),0,ProductTable!$C$2-SUM($B$4:$B47)),0)</f>
        <v>#REF!</v>
      </c>
      <c r="C48" s="184" t="e">
        <f ca="1">INDEX(INDIRECT(CT_APtoSTA!$G$2),SUM($B$4:$B48))</f>
        <v>#REF!</v>
      </c>
      <c r="D48" s="184" t="b">
        <f ca="1">IF(ISERROR(MATCH(C48,INDIRECT(ProductTable!$E$4),0)),FALSE,TRUE)</f>
        <v>0</v>
      </c>
      <c r="E48" s="184" t="e">
        <f ca="1">MATCH(TRUE,OFFSET(INDIRECT($D$3),SUM($E$4:$E47),0,ProductTable!$C$2-SUM($E$4:$E47),1),0)</f>
        <v>#N/A</v>
      </c>
      <c r="F48" s="184" t="str">
        <f ca="1">IF(ISERROR($E48),"",INDEX(INDIRECT($C$3),SUM($E$4:$E48)))</f>
        <v/>
      </c>
    </row>
    <row r="49" spans="2:6" x14ac:dyDescent="0.25">
      <c r="B49" s="184" t="e">
        <f ca="1">MATCH(TRUE,OFFSET(INDIRECT(INDEX(INDIRECT(CT_APtoSTA!$B$4),0,MATCH(SelectionTables!$G$4,INDIRECT(CT_APtoSTA!$G$3),0))),SUM($B$4:$B48),0,ProductTable!$C$2-SUM($B$4:$B48)),0)</f>
        <v>#REF!</v>
      </c>
      <c r="C49" s="184" t="e">
        <f ca="1">INDEX(INDIRECT(CT_APtoSTA!$G$2),SUM($B$4:$B49))</f>
        <v>#REF!</v>
      </c>
      <c r="D49" s="184" t="b">
        <f ca="1">IF(ISERROR(MATCH(C49,INDIRECT(ProductTable!$E$4),0)),FALSE,TRUE)</f>
        <v>0</v>
      </c>
      <c r="E49" s="184" t="e">
        <f ca="1">MATCH(TRUE,OFFSET(INDIRECT($D$3),SUM($E$4:$E48),0,ProductTable!$C$2-SUM($E$4:$E48),1),0)</f>
        <v>#N/A</v>
      </c>
      <c r="F49" s="184" t="str">
        <f ca="1">IF(ISERROR($E49),"",INDEX(INDIRECT($C$3),SUM($E$4:$E49)))</f>
        <v/>
      </c>
    </row>
    <row r="50" spans="2:6" x14ac:dyDescent="0.25">
      <c r="B50" s="184" t="e">
        <f ca="1">MATCH(TRUE,OFFSET(INDIRECT(INDEX(INDIRECT(CT_APtoSTA!$B$4),0,MATCH(SelectionTables!$G$4,INDIRECT(CT_APtoSTA!$G$3),0))),SUM($B$4:$B49),0,ProductTable!$C$2-SUM($B$4:$B49)),0)</f>
        <v>#REF!</v>
      </c>
      <c r="C50" s="184" t="e">
        <f ca="1">INDEX(INDIRECT(CT_APtoSTA!$G$2),SUM($B$4:$B50))</f>
        <v>#REF!</v>
      </c>
      <c r="D50" s="184" t="b">
        <f ca="1">IF(ISERROR(MATCH(C50,INDIRECT(ProductTable!$E$4),0)),FALSE,TRUE)</f>
        <v>0</v>
      </c>
      <c r="E50" s="184" t="e">
        <f ca="1">MATCH(TRUE,OFFSET(INDIRECT($D$3),SUM($E$4:$E49),0,ProductTable!$C$2-SUM($E$4:$E49),1),0)</f>
        <v>#N/A</v>
      </c>
      <c r="F50" s="184" t="str">
        <f ca="1">IF(ISERROR($E50),"",INDEX(INDIRECT($C$3),SUM($E$4:$E50)))</f>
        <v/>
      </c>
    </row>
    <row r="51" spans="2:6" x14ac:dyDescent="0.25">
      <c r="B51" s="184" t="e">
        <f ca="1">MATCH(TRUE,OFFSET(INDIRECT(INDEX(INDIRECT(CT_APtoSTA!$B$4),0,MATCH(SelectionTables!$G$4,INDIRECT(CT_APtoSTA!$G$3),0))),SUM($B$4:$B50),0,ProductTable!$C$2-SUM($B$4:$B50)),0)</f>
        <v>#REF!</v>
      </c>
      <c r="C51" s="184" t="e">
        <f ca="1">INDEX(INDIRECT(CT_APtoSTA!$G$2),SUM($B$4:$B51))</f>
        <v>#REF!</v>
      </c>
      <c r="D51" s="184" t="b">
        <f ca="1">IF(ISERROR(MATCH(C51,INDIRECT(ProductTable!$E$4),0)),FALSE,TRUE)</f>
        <v>0</v>
      </c>
      <c r="E51" s="184" t="e">
        <f ca="1">MATCH(TRUE,OFFSET(INDIRECT($D$3),SUM($E$4:$E50),0,ProductTable!$C$2-SUM($E$4:$E50),1),0)</f>
        <v>#N/A</v>
      </c>
      <c r="F51" s="184" t="str">
        <f ca="1">IF(ISERROR($E51),"",INDEX(INDIRECT($C$3),SUM($E$4:$E51)))</f>
        <v/>
      </c>
    </row>
    <row r="52" spans="2:6" x14ac:dyDescent="0.25">
      <c r="D52" s="91"/>
    </row>
    <row r="53" spans="2:6" x14ac:dyDescent="0.25">
      <c r="D53" s="91"/>
    </row>
    <row r="54" spans="2:6" x14ac:dyDescent="0.25">
      <c r="D54" s="91"/>
    </row>
    <row r="55" spans="2:6" x14ac:dyDescent="0.25">
      <c r="D55" s="91"/>
    </row>
    <row r="56" spans="2:6" x14ac:dyDescent="0.25">
      <c r="D56" s="91"/>
    </row>
    <row r="57" spans="2:6" x14ac:dyDescent="0.25">
      <c r="D57" s="91"/>
    </row>
    <row r="58" spans="2:6" x14ac:dyDescent="0.25">
      <c r="D58" s="91"/>
    </row>
    <row r="59" spans="2:6" x14ac:dyDescent="0.25">
      <c r="D59" s="91"/>
    </row>
    <row r="60" spans="2:6" x14ac:dyDescent="0.25">
      <c r="D60" s="91"/>
    </row>
    <row r="61" spans="2:6" x14ac:dyDescent="0.25">
      <c r="D61" s="91"/>
    </row>
    <row r="62" spans="2:6" x14ac:dyDescent="0.25">
      <c r="D62" s="91"/>
    </row>
    <row r="63" spans="2:6" x14ac:dyDescent="0.25">
      <c r="D63" s="91"/>
    </row>
    <row r="64" spans="2:6" x14ac:dyDescent="0.25">
      <c r="D64" s="91"/>
    </row>
    <row r="65" spans="4:4" x14ac:dyDescent="0.25">
      <c r="D65" s="91"/>
    </row>
    <row r="66" spans="4:4" x14ac:dyDescent="0.25">
      <c r="D66" s="91"/>
    </row>
    <row r="67" spans="4:4" x14ac:dyDescent="0.25">
      <c r="D67" s="91"/>
    </row>
    <row r="68" spans="4:4" x14ac:dyDescent="0.25">
      <c r="D68" s="91"/>
    </row>
    <row r="69" spans="4:4" x14ac:dyDescent="0.25">
      <c r="D69" s="91"/>
    </row>
    <row r="70" spans="4:4" x14ac:dyDescent="0.25">
      <c r="D70" s="91"/>
    </row>
    <row r="71" spans="4:4" x14ac:dyDescent="0.25">
      <c r="D71" s="91"/>
    </row>
    <row r="72" spans="4:4" x14ac:dyDescent="0.25">
      <c r="D72" s="91"/>
    </row>
    <row r="73" spans="4:4" x14ac:dyDescent="0.25">
      <c r="D73" s="91"/>
    </row>
    <row r="74" spans="4:4" x14ac:dyDescent="0.25">
      <c r="D74" s="91"/>
    </row>
    <row r="75" spans="4:4" x14ac:dyDescent="0.25">
      <c r="D75" s="91"/>
    </row>
    <row r="76" spans="4:4" x14ac:dyDescent="0.25">
      <c r="D76" s="91"/>
    </row>
    <row r="77" spans="4:4" x14ac:dyDescent="0.25">
      <c r="D77" s="91"/>
    </row>
    <row r="78" spans="4:4" x14ac:dyDescent="0.25">
      <c r="D78" s="91"/>
    </row>
    <row r="79" spans="4:4" x14ac:dyDescent="0.25">
      <c r="D79" s="91"/>
    </row>
    <row r="80" spans="4:4" x14ac:dyDescent="0.25">
      <c r="D80" s="91"/>
    </row>
    <row r="81" spans="4:4" x14ac:dyDescent="0.25">
      <c r="D81" s="91"/>
    </row>
    <row r="82" spans="4:4" x14ac:dyDescent="0.25">
      <c r="D82" s="91"/>
    </row>
    <row r="83" spans="4:4" x14ac:dyDescent="0.25">
      <c r="D83" s="91"/>
    </row>
    <row r="84" spans="4:4" x14ac:dyDescent="0.25">
      <c r="D84" s="91"/>
    </row>
    <row r="85" spans="4:4" x14ac:dyDescent="0.25">
      <c r="D85" s="91"/>
    </row>
    <row r="86" spans="4:4" x14ac:dyDescent="0.25">
      <c r="D86" s="91"/>
    </row>
    <row r="87" spans="4:4" x14ac:dyDescent="0.25">
      <c r="D87" s="91"/>
    </row>
    <row r="88" spans="4:4" x14ac:dyDescent="0.25">
      <c r="D88" s="91"/>
    </row>
    <row r="89" spans="4:4" x14ac:dyDescent="0.25">
      <c r="D89" s="91"/>
    </row>
    <row r="90" spans="4:4" x14ac:dyDescent="0.25">
      <c r="D90" s="91"/>
    </row>
    <row r="91" spans="4:4" x14ac:dyDescent="0.25">
      <c r="D91" s="91"/>
    </row>
    <row r="92" spans="4:4" x14ac:dyDescent="0.25">
      <c r="D92" s="91"/>
    </row>
    <row r="93" spans="4:4" x14ac:dyDescent="0.25">
      <c r="D93" s="91"/>
    </row>
    <row r="94" spans="4:4" x14ac:dyDescent="0.25">
      <c r="D94" s="91"/>
    </row>
    <row r="95" spans="4:4" x14ac:dyDescent="0.25">
      <c r="D95" s="91"/>
    </row>
    <row r="96" spans="4:4" x14ac:dyDescent="0.25">
      <c r="D96" s="91"/>
    </row>
    <row r="97" spans="4:4" x14ac:dyDescent="0.25">
      <c r="D97" s="91"/>
    </row>
    <row r="98" spans="4:4" x14ac:dyDescent="0.25">
      <c r="D98" s="91"/>
    </row>
    <row r="99" spans="4:4" x14ac:dyDescent="0.25">
      <c r="D99" s="91"/>
    </row>
    <row r="100" spans="4:4" x14ac:dyDescent="0.25">
      <c r="D100" s="91"/>
    </row>
    <row r="101" spans="4:4" x14ac:dyDescent="0.25">
      <c r="D101" s="91"/>
    </row>
    <row r="102" spans="4:4" x14ac:dyDescent="0.25">
      <c r="D102" s="91"/>
    </row>
    <row r="103" spans="4:4" x14ac:dyDescent="0.25">
      <c r="D103" s="91"/>
    </row>
    <row r="104" spans="4:4" x14ac:dyDescent="0.25">
      <c r="D104" s="91"/>
    </row>
    <row r="105" spans="4:4" x14ac:dyDescent="0.25">
      <c r="D105" s="91"/>
    </row>
    <row r="106" spans="4:4" x14ac:dyDescent="0.25">
      <c r="D106" s="91"/>
    </row>
    <row r="107" spans="4:4" x14ac:dyDescent="0.25">
      <c r="D107" s="91"/>
    </row>
    <row r="108" spans="4:4" x14ac:dyDescent="0.25">
      <c r="D108" s="91"/>
    </row>
    <row r="109" spans="4:4" x14ac:dyDescent="0.25">
      <c r="D109" s="91"/>
    </row>
    <row r="110" spans="4:4" x14ac:dyDescent="0.25">
      <c r="D110" s="91"/>
    </row>
    <row r="111" spans="4:4" x14ac:dyDescent="0.25">
      <c r="D111" s="91"/>
    </row>
    <row r="112" spans="4:4" x14ac:dyDescent="0.25">
      <c r="D112" s="91"/>
    </row>
    <row r="113" spans="4:4" x14ac:dyDescent="0.25">
      <c r="D113" s="91"/>
    </row>
    <row r="114" spans="4:4" x14ac:dyDescent="0.25">
      <c r="D114" s="91"/>
    </row>
    <row r="115" spans="4:4" x14ac:dyDescent="0.25">
      <c r="D115" s="91"/>
    </row>
    <row r="116" spans="4:4" x14ac:dyDescent="0.25">
      <c r="D116" s="91"/>
    </row>
    <row r="117" spans="4:4" x14ac:dyDescent="0.25">
      <c r="D117" s="91"/>
    </row>
    <row r="118" spans="4:4" x14ac:dyDescent="0.25">
      <c r="D118" s="91"/>
    </row>
    <row r="119" spans="4:4" x14ac:dyDescent="0.25">
      <c r="D119" s="91"/>
    </row>
    <row r="120" spans="4:4" x14ac:dyDescent="0.25">
      <c r="D120" s="91"/>
    </row>
    <row r="121" spans="4:4" x14ac:dyDescent="0.25">
      <c r="D121" s="91"/>
    </row>
    <row r="122" spans="4:4" x14ac:dyDescent="0.25">
      <c r="D122" s="91"/>
    </row>
    <row r="123" spans="4:4" x14ac:dyDescent="0.25">
      <c r="D123" s="91"/>
    </row>
    <row r="124" spans="4:4" x14ac:dyDescent="0.25">
      <c r="D124" s="91"/>
    </row>
    <row r="125" spans="4:4" x14ac:dyDescent="0.25">
      <c r="D125" s="91"/>
    </row>
    <row r="126" spans="4:4" x14ac:dyDescent="0.25">
      <c r="D126" s="91"/>
    </row>
    <row r="127" spans="4:4" x14ac:dyDescent="0.25">
      <c r="D127" s="91"/>
    </row>
    <row r="128" spans="4:4" x14ac:dyDescent="0.25">
      <c r="D128" s="91"/>
    </row>
    <row r="129" spans="4:4" x14ac:dyDescent="0.25">
      <c r="D129" s="91"/>
    </row>
    <row r="130" spans="4:4" x14ac:dyDescent="0.25">
      <c r="D130" s="91"/>
    </row>
    <row r="131" spans="4:4" x14ac:dyDescent="0.25">
      <c r="D131" s="91"/>
    </row>
    <row r="132" spans="4:4" x14ac:dyDescent="0.25">
      <c r="D132" s="91"/>
    </row>
    <row r="133" spans="4:4" x14ac:dyDescent="0.25">
      <c r="D133" s="91"/>
    </row>
    <row r="134" spans="4:4" x14ac:dyDescent="0.25">
      <c r="D134" s="91"/>
    </row>
    <row r="135" spans="4:4" x14ac:dyDescent="0.25">
      <c r="D135" s="91"/>
    </row>
    <row r="136" spans="4:4" x14ac:dyDescent="0.25">
      <c r="D136" s="91"/>
    </row>
    <row r="137" spans="4:4" x14ac:dyDescent="0.25">
      <c r="D137" s="91"/>
    </row>
    <row r="138" spans="4:4" x14ac:dyDescent="0.25">
      <c r="D138" s="91"/>
    </row>
    <row r="139" spans="4:4" x14ac:dyDescent="0.25">
      <c r="D139" s="91"/>
    </row>
    <row r="140" spans="4:4" x14ac:dyDescent="0.25">
      <c r="D140" s="91"/>
    </row>
    <row r="141" spans="4:4" x14ac:dyDescent="0.25">
      <c r="D141" s="91"/>
    </row>
    <row r="142" spans="4:4" x14ac:dyDescent="0.25">
      <c r="D142" s="91"/>
    </row>
    <row r="143" spans="4:4" x14ac:dyDescent="0.25">
      <c r="D143" s="91"/>
    </row>
    <row r="144" spans="4:4" x14ac:dyDescent="0.25">
      <c r="D144" s="91"/>
    </row>
    <row r="145" spans="4:4" x14ac:dyDescent="0.25">
      <c r="D145" s="91"/>
    </row>
    <row r="146" spans="4:4" x14ac:dyDescent="0.25">
      <c r="D146" s="91"/>
    </row>
    <row r="147" spans="4:4" x14ac:dyDescent="0.25">
      <c r="D147" s="91"/>
    </row>
    <row r="148" spans="4:4" x14ac:dyDescent="0.25">
      <c r="D148" s="91"/>
    </row>
    <row r="149" spans="4:4" x14ac:dyDescent="0.25">
      <c r="D149" s="91"/>
    </row>
    <row r="150" spans="4:4" x14ac:dyDescent="0.25">
      <c r="D150" s="91"/>
    </row>
    <row r="151" spans="4:4" x14ac:dyDescent="0.25">
      <c r="D151" s="91"/>
    </row>
    <row r="152" spans="4:4" x14ac:dyDescent="0.25">
      <c r="D152" s="91"/>
    </row>
    <row r="153" spans="4:4" x14ac:dyDescent="0.25">
      <c r="D153" s="91"/>
    </row>
    <row r="154" spans="4:4" x14ac:dyDescent="0.25">
      <c r="D154" s="91"/>
    </row>
    <row r="155" spans="4:4" x14ac:dyDescent="0.25">
      <c r="D155" s="91"/>
    </row>
    <row r="156" spans="4:4" x14ac:dyDescent="0.25">
      <c r="D156" s="91"/>
    </row>
    <row r="157" spans="4:4" x14ac:dyDescent="0.25">
      <c r="D157" s="91"/>
    </row>
    <row r="158" spans="4:4" x14ac:dyDescent="0.25">
      <c r="D158" s="91"/>
    </row>
    <row r="159" spans="4:4" x14ac:dyDescent="0.25">
      <c r="D159" s="91"/>
    </row>
    <row r="160" spans="4:4" x14ac:dyDescent="0.25">
      <c r="D160" s="91"/>
    </row>
    <row r="161" spans="4:4" x14ac:dyDescent="0.25">
      <c r="D161" s="91"/>
    </row>
    <row r="162" spans="4:4" x14ac:dyDescent="0.25">
      <c r="D162" s="91"/>
    </row>
    <row r="163" spans="4:4" x14ac:dyDescent="0.25">
      <c r="D163" s="91"/>
    </row>
    <row r="164" spans="4:4" x14ac:dyDescent="0.25">
      <c r="D164" s="91"/>
    </row>
    <row r="165" spans="4:4" x14ac:dyDescent="0.25">
      <c r="D165" s="91"/>
    </row>
    <row r="166" spans="4:4" x14ac:dyDescent="0.25">
      <c r="D166" s="91"/>
    </row>
    <row r="167" spans="4:4" x14ac:dyDescent="0.25">
      <c r="D167" s="91"/>
    </row>
    <row r="168" spans="4:4" x14ac:dyDescent="0.25">
      <c r="D168" s="91"/>
    </row>
    <row r="169" spans="4:4" x14ac:dyDescent="0.25">
      <c r="D169" s="91"/>
    </row>
    <row r="170" spans="4:4" x14ac:dyDescent="0.25">
      <c r="D170" s="91"/>
    </row>
    <row r="171" spans="4:4" x14ac:dyDescent="0.25">
      <c r="D171" s="91"/>
    </row>
    <row r="172" spans="4:4" x14ac:dyDescent="0.25">
      <c r="D172" s="91"/>
    </row>
    <row r="173" spans="4:4" x14ac:dyDescent="0.25">
      <c r="D173" s="91"/>
    </row>
    <row r="174" spans="4:4" x14ac:dyDescent="0.25">
      <c r="D174" s="91"/>
    </row>
    <row r="175" spans="4:4" x14ac:dyDescent="0.25">
      <c r="D175" s="91"/>
    </row>
    <row r="176" spans="4:4" x14ac:dyDescent="0.25">
      <c r="D176" s="91"/>
    </row>
    <row r="177" spans="4:4" x14ac:dyDescent="0.25">
      <c r="D177" s="91"/>
    </row>
    <row r="178" spans="4:4" x14ac:dyDescent="0.25">
      <c r="D178" s="91"/>
    </row>
    <row r="179" spans="4:4" x14ac:dyDescent="0.25">
      <c r="D179" s="91"/>
    </row>
    <row r="180" spans="4:4" x14ac:dyDescent="0.25">
      <c r="D180" s="91"/>
    </row>
    <row r="181" spans="4:4" x14ac:dyDescent="0.25">
      <c r="D181" s="91"/>
    </row>
    <row r="182" spans="4:4" x14ac:dyDescent="0.25">
      <c r="D182" s="91"/>
    </row>
    <row r="183" spans="4:4" x14ac:dyDescent="0.25">
      <c r="D183" s="91"/>
    </row>
    <row r="184" spans="4:4" x14ac:dyDescent="0.25">
      <c r="D184" s="91"/>
    </row>
    <row r="185" spans="4:4" x14ac:dyDescent="0.25">
      <c r="D185" s="91"/>
    </row>
    <row r="186" spans="4:4" x14ac:dyDescent="0.25">
      <c r="D186" s="91"/>
    </row>
    <row r="187" spans="4:4" x14ac:dyDescent="0.25">
      <c r="D187" s="91"/>
    </row>
    <row r="188" spans="4:4" x14ac:dyDescent="0.25">
      <c r="D188" s="91"/>
    </row>
    <row r="189" spans="4:4" x14ac:dyDescent="0.25">
      <c r="D189" s="91"/>
    </row>
    <row r="190" spans="4:4" x14ac:dyDescent="0.25">
      <c r="D190" s="91"/>
    </row>
    <row r="191" spans="4:4" x14ac:dyDescent="0.25">
      <c r="D191" s="91"/>
    </row>
    <row r="192" spans="4:4" x14ac:dyDescent="0.25">
      <c r="D192" s="91"/>
    </row>
    <row r="193" spans="4:4" x14ac:dyDescent="0.25">
      <c r="D193" s="91"/>
    </row>
    <row r="194" spans="4:4" x14ac:dyDescent="0.25">
      <c r="D194" s="91"/>
    </row>
    <row r="195" spans="4:4" x14ac:dyDescent="0.25">
      <c r="D195" s="91"/>
    </row>
    <row r="196" spans="4:4" x14ac:dyDescent="0.25">
      <c r="D196" s="91"/>
    </row>
    <row r="197" spans="4:4" x14ac:dyDescent="0.25">
      <c r="D197" s="91"/>
    </row>
    <row r="198" spans="4:4" x14ac:dyDescent="0.25">
      <c r="D198" s="91"/>
    </row>
    <row r="199" spans="4:4" x14ac:dyDescent="0.25">
      <c r="D199" s="91"/>
    </row>
    <row r="200" spans="4:4" x14ac:dyDescent="0.25">
      <c r="D200" s="91"/>
    </row>
    <row r="201" spans="4:4" x14ac:dyDescent="0.25">
      <c r="D201" s="91"/>
    </row>
    <row r="202" spans="4:4" x14ac:dyDescent="0.25">
      <c r="D202" s="91"/>
    </row>
    <row r="203" spans="4:4" x14ac:dyDescent="0.25">
      <c r="D203" s="91"/>
    </row>
    <row r="204" spans="4:4" x14ac:dyDescent="0.25">
      <c r="D204" s="91"/>
    </row>
    <row r="205" spans="4:4" x14ac:dyDescent="0.25">
      <c r="D205" s="91"/>
    </row>
    <row r="206" spans="4:4" x14ac:dyDescent="0.25">
      <c r="D206" s="91"/>
    </row>
    <row r="207" spans="4:4" x14ac:dyDescent="0.25">
      <c r="D207" s="91"/>
    </row>
    <row r="208" spans="4:4" x14ac:dyDescent="0.25">
      <c r="D208" s="91"/>
    </row>
    <row r="209" spans="4:4" x14ac:dyDescent="0.25">
      <c r="D209" s="91"/>
    </row>
    <row r="210" spans="4:4" x14ac:dyDescent="0.25">
      <c r="D210" s="91"/>
    </row>
    <row r="211" spans="4:4" x14ac:dyDescent="0.25">
      <c r="D211" s="91"/>
    </row>
    <row r="212" spans="4:4" x14ac:dyDescent="0.25">
      <c r="D212" s="91"/>
    </row>
    <row r="213" spans="4:4" x14ac:dyDescent="0.25">
      <c r="D213" s="91"/>
    </row>
    <row r="214" spans="4:4" x14ac:dyDescent="0.25">
      <c r="D214" s="91"/>
    </row>
    <row r="215" spans="4:4" x14ac:dyDescent="0.25">
      <c r="D215" s="91"/>
    </row>
    <row r="216" spans="4:4" x14ac:dyDescent="0.25">
      <c r="D216" s="91"/>
    </row>
    <row r="217" spans="4:4" x14ac:dyDescent="0.25">
      <c r="D217" s="91"/>
    </row>
    <row r="218" spans="4:4" x14ac:dyDescent="0.25">
      <c r="D218" s="91"/>
    </row>
    <row r="219" spans="4:4" x14ac:dyDescent="0.25">
      <c r="D219" s="91"/>
    </row>
    <row r="220" spans="4:4" x14ac:dyDescent="0.25">
      <c r="D220" s="91"/>
    </row>
    <row r="221" spans="4:4" x14ac:dyDescent="0.25">
      <c r="D221" s="91"/>
    </row>
    <row r="222" spans="4:4" x14ac:dyDescent="0.25">
      <c r="D222" s="91"/>
    </row>
    <row r="223" spans="4:4" x14ac:dyDescent="0.25">
      <c r="D223" s="91"/>
    </row>
    <row r="224" spans="4:4" x14ac:dyDescent="0.25">
      <c r="D224" s="91"/>
    </row>
    <row r="225" spans="4:4" x14ac:dyDescent="0.25">
      <c r="D225" s="91"/>
    </row>
    <row r="226" spans="4:4" x14ac:dyDescent="0.25">
      <c r="D226" s="91"/>
    </row>
    <row r="227" spans="4:4" x14ac:dyDescent="0.25">
      <c r="D227" s="91"/>
    </row>
    <row r="228" spans="4:4" x14ac:dyDescent="0.25">
      <c r="D228" s="91"/>
    </row>
    <row r="229" spans="4:4" x14ac:dyDescent="0.25">
      <c r="D229" s="91"/>
    </row>
    <row r="230" spans="4:4" x14ac:dyDescent="0.25">
      <c r="D230" s="91"/>
    </row>
    <row r="231" spans="4:4" x14ac:dyDescent="0.25">
      <c r="D231" s="91"/>
    </row>
    <row r="232" spans="4:4" x14ac:dyDescent="0.25">
      <c r="D232" s="91"/>
    </row>
    <row r="233" spans="4:4" x14ac:dyDescent="0.25">
      <c r="D233" s="91"/>
    </row>
    <row r="234" spans="4:4" x14ac:dyDescent="0.25">
      <c r="D234" s="91"/>
    </row>
    <row r="235" spans="4:4" x14ac:dyDescent="0.25">
      <c r="D235" s="91"/>
    </row>
    <row r="236" spans="4:4" x14ac:dyDescent="0.25">
      <c r="D236" s="91"/>
    </row>
    <row r="237" spans="4:4" x14ac:dyDescent="0.25">
      <c r="D237" s="91"/>
    </row>
    <row r="238" spans="4:4" x14ac:dyDescent="0.25">
      <c r="D238" s="91"/>
    </row>
    <row r="239" spans="4:4" x14ac:dyDescent="0.25">
      <c r="D239" s="91"/>
    </row>
    <row r="240" spans="4:4" x14ac:dyDescent="0.25">
      <c r="D240" s="91"/>
    </row>
    <row r="241" spans="4:4" x14ac:dyDescent="0.25">
      <c r="D241" s="91"/>
    </row>
    <row r="242" spans="4:4" x14ac:dyDescent="0.25">
      <c r="D242" s="91"/>
    </row>
    <row r="243" spans="4:4" x14ac:dyDescent="0.25">
      <c r="D243" s="91"/>
    </row>
    <row r="244" spans="4:4" x14ac:dyDescent="0.25">
      <c r="D244" s="91"/>
    </row>
    <row r="245" spans="4:4" x14ac:dyDescent="0.25">
      <c r="D245" s="91"/>
    </row>
    <row r="246" spans="4:4" x14ac:dyDescent="0.25">
      <c r="D246" s="91"/>
    </row>
    <row r="247" spans="4:4" x14ac:dyDescent="0.25">
      <c r="D247" s="91"/>
    </row>
    <row r="248" spans="4:4" x14ac:dyDescent="0.25">
      <c r="D248" s="91"/>
    </row>
    <row r="249" spans="4:4" x14ac:dyDescent="0.25">
      <c r="D249" s="91"/>
    </row>
    <row r="250" spans="4:4" x14ac:dyDescent="0.25">
      <c r="D250" s="91"/>
    </row>
    <row r="251" spans="4:4" x14ac:dyDescent="0.25">
      <c r="D251" s="91"/>
    </row>
    <row r="252" spans="4:4" x14ac:dyDescent="0.25">
      <c r="D252" s="91"/>
    </row>
    <row r="253" spans="4:4" x14ac:dyDescent="0.25">
      <c r="D253" s="91"/>
    </row>
    <row r="254" spans="4:4" x14ac:dyDescent="0.25">
      <c r="D254" s="91"/>
    </row>
    <row r="255" spans="4:4" x14ac:dyDescent="0.25">
      <c r="D255" s="91"/>
    </row>
    <row r="256" spans="4:4" x14ac:dyDescent="0.25">
      <c r="D256" s="91"/>
    </row>
    <row r="257" spans="4:4" x14ac:dyDescent="0.25">
      <c r="D257" s="91"/>
    </row>
    <row r="258" spans="4:4" x14ac:dyDescent="0.25">
      <c r="D258" s="91"/>
    </row>
    <row r="259" spans="4:4" x14ac:dyDescent="0.25">
      <c r="D259" s="91"/>
    </row>
    <row r="260" spans="4:4" x14ac:dyDescent="0.25">
      <c r="D260" s="91"/>
    </row>
    <row r="261" spans="4:4" x14ac:dyDescent="0.25">
      <c r="D261" s="91"/>
    </row>
    <row r="262" spans="4:4" x14ac:dyDescent="0.25">
      <c r="D262" s="91"/>
    </row>
    <row r="263" spans="4:4" x14ac:dyDescent="0.25">
      <c r="D263" s="91"/>
    </row>
    <row r="264" spans="4:4" x14ac:dyDescent="0.25">
      <c r="D264" s="91"/>
    </row>
    <row r="265" spans="4:4" x14ac:dyDescent="0.25">
      <c r="D265" s="91"/>
    </row>
    <row r="266" spans="4:4" x14ac:dyDescent="0.25">
      <c r="D266" s="91"/>
    </row>
    <row r="267" spans="4:4" x14ac:dyDescent="0.25">
      <c r="D267" s="91"/>
    </row>
    <row r="268" spans="4:4" x14ac:dyDescent="0.25">
      <c r="D268" s="91"/>
    </row>
    <row r="269" spans="4:4" x14ac:dyDescent="0.25">
      <c r="D269" s="91"/>
    </row>
    <row r="270" spans="4:4" x14ac:dyDescent="0.25">
      <c r="D270" s="91"/>
    </row>
    <row r="271" spans="4:4" x14ac:dyDescent="0.25">
      <c r="D271" s="91"/>
    </row>
    <row r="272" spans="4:4" x14ac:dyDescent="0.25">
      <c r="D272" s="91"/>
    </row>
    <row r="273" spans="4:4" x14ac:dyDescent="0.25">
      <c r="D273" s="91"/>
    </row>
    <row r="274" spans="4:4" x14ac:dyDescent="0.25">
      <c r="D274" s="91"/>
    </row>
    <row r="275" spans="4:4" x14ac:dyDescent="0.25">
      <c r="D275" s="91"/>
    </row>
    <row r="276" spans="4:4" x14ac:dyDescent="0.25">
      <c r="D276" s="91"/>
    </row>
    <row r="277" spans="4:4" x14ac:dyDescent="0.25">
      <c r="D277" s="91"/>
    </row>
    <row r="278" spans="4:4" x14ac:dyDescent="0.25">
      <c r="D278" s="91"/>
    </row>
    <row r="279" spans="4:4" x14ac:dyDescent="0.25">
      <c r="D279" s="91"/>
    </row>
    <row r="280" spans="4:4" x14ac:dyDescent="0.25">
      <c r="D280" s="91"/>
    </row>
    <row r="281" spans="4:4" x14ac:dyDescent="0.25">
      <c r="D281" s="91"/>
    </row>
    <row r="282" spans="4:4" x14ac:dyDescent="0.25">
      <c r="D282" s="91"/>
    </row>
    <row r="283" spans="4:4" x14ac:dyDescent="0.25">
      <c r="D283" s="91"/>
    </row>
    <row r="284" spans="4:4" x14ac:dyDescent="0.25">
      <c r="D284" s="91"/>
    </row>
    <row r="285" spans="4:4" x14ac:dyDescent="0.25">
      <c r="D285" s="91"/>
    </row>
    <row r="286" spans="4:4" x14ac:dyDescent="0.25">
      <c r="D286" s="91"/>
    </row>
    <row r="287" spans="4:4" x14ac:dyDescent="0.25">
      <c r="D287" s="91"/>
    </row>
    <row r="288" spans="4:4" x14ac:dyDescent="0.25">
      <c r="D288" s="91"/>
    </row>
    <row r="289" spans="4:4" x14ac:dyDescent="0.25">
      <c r="D289" s="91"/>
    </row>
    <row r="290" spans="4:4" x14ac:dyDescent="0.25">
      <c r="D290" s="91"/>
    </row>
    <row r="291" spans="4:4" x14ac:dyDescent="0.25">
      <c r="D291" s="91"/>
    </row>
    <row r="292" spans="4:4" x14ac:dyDescent="0.25">
      <c r="D292" s="91"/>
    </row>
    <row r="293" spans="4:4" x14ac:dyDescent="0.25">
      <c r="D293" s="91"/>
    </row>
    <row r="294" spans="4:4" x14ac:dyDescent="0.25">
      <c r="D294" s="91"/>
    </row>
    <row r="295" spans="4:4" x14ac:dyDescent="0.25">
      <c r="D295" s="91"/>
    </row>
    <row r="296" spans="4:4" x14ac:dyDescent="0.25">
      <c r="D296" s="91"/>
    </row>
    <row r="297" spans="4:4" x14ac:dyDescent="0.25">
      <c r="D297" s="91"/>
    </row>
    <row r="298" spans="4:4" x14ac:dyDescent="0.25">
      <c r="D298" s="91"/>
    </row>
    <row r="299" spans="4:4" x14ac:dyDescent="0.25">
      <c r="D299" s="91"/>
    </row>
    <row r="300" spans="4:4" x14ac:dyDescent="0.25">
      <c r="D300" s="91"/>
    </row>
    <row r="301" spans="4:4" x14ac:dyDescent="0.25">
      <c r="D301" s="91"/>
    </row>
    <row r="302" spans="4:4" x14ac:dyDescent="0.25">
      <c r="D302" s="91"/>
    </row>
    <row r="303" spans="4:4" x14ac:dyDescent="0.25">
      <c r="D303" s="91"/>
    </row>
    <row r="304" spans="4:4" x14ac:dyDescent="0.25">
      <c r="D304" s="91"/>
    </row>
    <row r="305" spans="4:4" x14ac:dyDescent="0.25">
      <c r="D305" s="91"/>
    </row>
    <row r="306" spans="4:4" x14ac:dyDescent="0.25">
      <c r="D306" s="91"/>
    </row>
    <row r="307" spans="4:4" x14ac:dyDescent="0.25">
      <c r="D307" s="91"/>
    </row>
    <row r="308" spans="4:4" x14ac:dyDescent="0.25">
      <c r="D308" s="91"/>
    </row>
    <row r="309" spans="4:4" x14ac:dyDescent="0.25">
      <c r="D309" s="91"/>
    </row>
    <row r="310" spans="4:4" x14ac:dyDescent="0.25">
      <c r="D310" s="91"/>
    </row>
    <row r="311" spans="4:4" x14ac:dyDescent="0.25">
      <c r="D311" s="91"/>
    </row>
    <row r="312" spans="4:4" x14ac:dyDescent="0.25">
      <c r="D312" s="91"/>
    </row>
    <row r="313" spans="4:4" x14ac:dyDescent="0.25">
      <c r="D313" s="91"/>
    </row>
    <row r="314" spans="4:4" x14ac:dyDescent="0.25">
      <c r="D314" s="91"/>
    </row>
    <row r="315" spans="4:4" x14ac:dyDescent="0.25">
      <c r="D315" s="91"/>
    </row>
    <row r="316" spans="4:4" x14ac:dyDescent="0.25">
      <c r="D316" s="91"/>
    </row>
    <row r="317" spans="4:4" x14ac:dyDescent="0.25">
      <c r="D317" s="91"/>
    </row>
    <row r="318" spans="4:4" x14ac:dyDescent="0.25">
      <c r="D318" s="91"/>
    </row>
    <row r="319" spans="4:4" x14ac:dyDescent="0.25">
      <c r="D319" s="91"/>
    </row>
    <row r="320" spans="4:4" x14ac:dyDescent="0.25">
      <c r="D320" s="91"/>
    </row>
    <row r="321" spans="4:4" x14ac:dyDescent="0.25">
      <c r="D321" s="91"/>
    </row>
    <row r="322" spans="4:4" x14ac:dyDescent="0.25">
      <c r="D322" s="91"/>
    </row>
    <row r="323" spans="4:4" x14ac:dyDescent="0.25">
      <c r="D323" s="91"/>
    </row>
    <row r="324" spans="4:4" x14ac:dyDescent="0.25">
      <c r="D324" s="91"/>
    </row>
    <row r="325" spans="4:4" x14ac:dyDescent="0.25">
      <c r="D325" s="91"/>
    </row>
    <row r="326" spans="4:4" x14ac:dyDescent="0.25">
      <c r="D326" s="91"/>
    </row>
    <row r="327" spans="4:4" x14ac:dyDescent="0.25">
      <c r="D327" s="91"/>
    </row>
    <row r="328" spans="4:4" x14ac:dyDescent="0.25">
      <c r="D328" s="91"/>
    </row>
    <row r="329" spans="4:4" x14ac:dyDescent="0.25">
      <c r="D329" s="91"/>
    </row>
    <row r="330" spans="4:4" x14ac:dyDescent="0.25">
      <c r="D330" s="91"/>
    </row>
    <row r="331" spans="4:4" x14ac:dyDescent="0.25">
      <c r="D331" s="91"/>
    </row>
    <row r="332" spans="4:4" x14ac:dyDescent="0.25">
      <c r="D332" s="91"/>
    </row>
    <row r="333" spans="4:4" x14ac:dyDescent="0.25">
      <c r="D333" s="91"/>
    </row>
    <row r="334" spans="4:4" x14ac:dyDescent="0.25">
      <c r="D334" s="91"/>
    </row>
    <row r="335" spans="4:4" x14ac:dyDescent="0.25">
      <c r="D335" s="91"/>
    </row>
    <row r="336" spans="4:4" x14ac:dyDescent="0.25">
      <c r="D336" s="91"/>
    </row>
    <row r="337" spans="4:4" x14ac:dyDescent="0.25">
      <c r="D337" s="91"/>
    </row>
    <row r="338" spans="4:4" x14ac:dyDescent="0.25">
      <c r="D338" s="91"/>
    </row>
    <row r="339" spans="4:4" x14ac:dyDescent="0.25">
      <c r="D339" s="91"/>
    </row>
    <row r="340" spans="4:4" x14ac:dyDescent="0.25">
      <c r="D340" s="91"/>
    </row>
    <row r="341" spans="4:4" x14ac:dyDescent="0.25">
      <c r="D341" s="91"/>
    </row>
    <row r="342" spans="4:4" x14ac:dyDescent="0.25">
      <c r="D342" s="91"/>
    </row>
    <row r="343" spans="4:4" x14ac:dyDescent="0.25">
      <c r="D343" s="91"/>
    </row>
    <row r="344" spans="4:4" x14ac:dyDescent="0.25">
      <c r="D344" s="91"/>
    </row>
    <row r="345" spans="4:4" x14ac:dyDescent="0.25">
      <c r="D345" s="91"/>
    </row>
    <row r="346" spans="4:4" x14ac:dyDescent="0.25">
      <c r="D346" s="91"/>
    </row>
    <row r="347" spans="4:4" x14ac:dyDescent="0.25">
      <c r="D347" s="91"/>
    </row>
    <row r="348" spans="4:4" x14ac:dyDescent="0.25">
      <c r="D348" s="91"/>
    </row>
    <row r="349" spans="4:4" x14ac:dyDescent="0.25">
      <c r="D349" s="91"/>
    </row>
    <row r="350" spans="4:4" x14ac:dyDescent="0.25">
      <c r="D350" s="91"/>
    </row>
    <row r="351" spans="4:4" x14ac:dyDescent="0.25">
      <c r="D351" s="91"/>
    </row>
    <row r="352" spans="4:4" x14ac:dyDescent="0.25">
      <c r="D352" s="91"/>
    </row>
    <row r="353" spans="4:4" x14ac:dyDescent="0.25">
      <c r="D353" s="91"/>
    </row>
    <row r="354" spans="4:4" x14ac:dyDescent="0.25">
      <c r="D354" s="91"/>
    </row>
    <row r="355" spans="4:4" x14ac:dyDescent="0.25">
      <c r="D355" s="91"/>
    </row>
    <row r="356" spans="4:4" x14ac:dyDescent="0.25">
      <c r="D356" s="91"/>
    </row>
    <row r="357" spans="4:4" x14ac:dyDescent="0.25">
      <c r="D357" s="91"/>
    </row>
    <row r="358" spans="4:4" x14ac:dyDescent="0.25">
      <c r="D358" s="91"/>
    </row>
    <row r="359" spans="4:4" x14ac:dyDescent="0.25">
      <c r="D359" s="91"/>
    </row>
    <row r="360" spans="4:4" x14ac:dyDescent="0.25">
      <c r="D360" s="91"/>
    </row>
    <row r="361" spans="4:4" x14ac:dyDescent="0.25">
      <c r="D361" s="91"/>
    </row>
    <row r="362" spans="4:4" x14ac:dyDescent="0.25">
      <c r="D362" s="91"/>
    </row>
    <row r="363" spans="4:4" x14ac:dyDescent="0.25">
      <c r="D363" s="91"/>
    </row>
    <row r="364" spans="4:4" x14ac:dyDescent="0.25">
      <c r="D364" s="91"/>
    </row>
    <row r="365" spans="4:4" x14ac:dyDescent="0.25">
      <c r="D365" s="91"/>
    </row>
    <row r="366" spans="4:4" x14ac:dyDescent="0.25">
      <c r="D366" s="91"/>
    </row>
    <row r="367" spans="4:4" x14ac:dyDescent="0.25">
      <c r="D367" s="91"/>
    </row>
    <row r="368" spans="4:4" x14ac:dyDescent="0.25">
      <c r="D368" s="91"/>
    </row>
    <row r="369" spans="4:4" x14ac:dyDescent="0.25">
      <c r="D369" s="91"/>
    </row>
    <row r="370" spans="4:4" x14ac:dyDescent="0.25">
      <c r="D370" s="91"/>
    </row>
    <row r="371" spans="4:4" x14ac:dyDescent="0.25">
      <c r="D371" s="91"/>
    </row>
    <row r="372" spans="4:4" x14ac:dyDescent="0.25">
      <c r="D372" s="91"/>
    </row>
    <row r="373" spans="4:4" x14ac:dyDescent="0.25">
      <c r="D373" s="91"/>
    </row>
    <row r="374" spans="4:4" x14ac:dyDescent="0.25">
      <c r="D374" s="91"/>
    </row>
    <row r="375" spans="4:4" x14ac:dyDescent="0.25">
      <c r="D375" s="91"/>
    </row>
    <row r="376" spans="4:4" x14ac:dyDescent="0.25">
      <c r="D376" s="91"/>
    </row>
    <row r="377" spans="4:4" x14ac:dyDescent="0.25">
      <c r="D377" s="91"/>
    </row>
    <row r="378" spans="4:4" x14ac:dyDescent="0.25">
      <c r="D378" s="91"/>
    </row>
    <row r="379" spans="4:4" x14ac:dyDescent="0.25">
      <c r="D379" s="91"/>
    </row>
    <row r="380" spans="4:4" x14ac:dyDescent="0.25">
      <c r="D380" s="91"/>
    </row>
    <row r="381" spans="4:4" x14ac:dyDescent="0.25">
      <c r="D381" s="91"/>
    </row>
    <row r="382" spans="4:4" x14ac:dyDescent="0.25">
      <c r="D382" s="91"/>
    </row>
    <row r="383" spans="4:4" x14ac:dyDescent="0.25">
      <c r="D383" s="91"/>
    </row>
    <row r="384" spans="4:4" x14ac:dyDescent="0.25">
      <c r="D384" s="91"/>
    </row>
    <row r="385" spans="4:4" x14ac:dyDescent="0.25">
      <c r="D385" s="91"/>
    </row>
    <row r="386" spans="4:4" x14ac:dyDescent="0.25">
      <c r="D386" s="91"/>
    </row>
    <row r="387" spans="4:4" x14ac:dyDescent="0.25">
      <c r="D387" s="91"/>
    </row>
    <row r="388" spans="4:4" x14ac:dyDescent="0.25">
      <c r="D388" s="91"/>
    </row>
    <row r="389" spans="4:4" x14ac:dyDescent="0.25">
      <c r="D389" s="91"/>
    </row>
    <row r="390" spans="4:4" x14ac:dyDescent="0.25">
      <c r="D390" s="91"/>
    </row>
    <row r="391" spans="4:4" x14ac:dyDescent="0.25">
      <c r="D391" s="91"/>
    </row>
    <row r="392" spans="4:4" x14ac:dyDescent="0.25">
      <c r="D392" s="91"/>
    </row>
    <row r="393" spans="4:4" x14ac:dyDescent="0.25">
      <c r="D393" s="91"/>
    </row>
    <row r="394" spans="4:4" x14ac:dyDescent="0.25">
      <c r="D394" s="91"/>
    </row>
    <row r="395" spans="4:4" x14ac:dyDescent="0.25">
      <c r="D395" s="91"/>
    </row>
    <row r="396" spans="4:4" x14ac:dyDescent="0.25">
      <c r="D396" s="91"/>
    </row>
    <row r="397" spans="4:4" x14ac:dyDescent="0.25">
      <c r="D397" s="91"/>
    </row>
    <row r="398" spans="4:4" x14ac:dyDescent="0.25">
      <c r="D398" s="91"/>
    </row>
    <row r="399" spans="4:4" x14ac:dyDescent="0.25">
      <c r="D399" s="91"/>
    </row>
    <row r="400" spans="4:4" x14ac:dyDescent="0.25">
      <c r="D400" s="91"/>
    </row>
    <row r="401" spans="4:4" x14ac:dyDescent="0.25">
      <c r="D401" s="91"/>
    </row>
    <row r="402" spans="4:4" x14ac:dyDescent="0.25">
      <c r="D402" s="91"/>
    </row>
    <row r="403" spans="4:4" x14ac:dyDescent="0.25">
      <c r="D403" s="91"/>
    </row>
    <row r="404" spans="4:4" x14ac:dyDescent="0.25">
      <c r="D404" s="91"/>
    </row>
    <row r="405" spans="4:4" x14ac:dyDescent="0.25">
      <c r="D405" s="91"/>
    </row>
    <row r="406" spans="4:4" x14ac:dyDescent="0.25">
      <c r="D406" s="91"/>
    </row>
    <row r="407" spans="4:4" x14ac:dyDescent="0.25">
      <c r="D407" s="91"/>
    </row>
    <row r="408" spans="4:4" x14ac:dyDescent="0.25">
      <c r="D408" s="91"/>
    </row>
    <row r="409" spans="4:4" x14ac:dyDescent="0.25">
      <c r="D409" s="91"/>
    </row>
    <row r="410" spans="4:4" x14ac:dyDescent="0.25">
      <c r="D410" s="91"/>
    </row>
    <row r="411" spans="4:4" x14ac:dyDescent="0.25">
      <c r="D411" s="91"/>
    </row>
    <row r="412" spans="4:4" x14ac:dyDescent="0.25">
      <c r="D412" s="91"/>
    </row>
    <row r="413" spans="4:4" x14ac:dyDescent="0.25">
      <c r="D413" s="91"/>
    </row>
    <row r="414" spans="4:4" x14ac:dyDescent="0.25">
      <c r="D414" s="91"/>
    </row>
    <row r="415" spans="4:4" x14ac:dyDescent="0.25">
      <c r="D415" s="91"/>
    </row>
    <row r="416" spans="4:4" x14ac:dyDescent="0.25">
      <c r="D416" s="91"/>
    </row>
    <row r="417" spans="4:4" x14ac:dyDescent="0.25">
      <c r="D417" s="91"/>
    </row>
    <row r="418" spans="4:4" x14ac:dyDescent="0.25">
      <c r="D418" s="91"/>
    </row>
    <row r="419" spans="4:4" x14ac:dyDescent="0.25">
      <c r="D419" s="91"/>
    </row>
    <row r="420" spans="4:4" x14ac:dyDescent="0.25">
      <c r="D420" s="91"/>
    </row>
    <row r="421" spans="4:4" x14ac:dyDescent="0.25">
      <c r="D421" s="91"/>
    </row>
    <row r="422" spans="4:4" x14ac:dyDescent="0.25">
      <c r="D422" s="91"/>
    </row>
    <row r="423" spans="4:4" x14ac:dyDescent="0.25">
      <c r="D423" s="91"/>
    </row>
    <row r="424" spans="4:4" x14ac:dyDescent="0.25">
      <c r="D424" s="91"/>
    </row>
    <row r="425" spans="4:4" x14ac:dyDescent="0.25">
      <c r="D425" s="91"/>
    </row>
    <row r="426" spans="4:4" x14ac:dyDescent="0.25">
      <c r="D426" s="91"/>
    </row>
    <row r="427" spans="4:4" x14ac:dyDescent="0.25">
      <c r="D427" s="91"/>
    </row>
    <row r="428" spans="4:4" x14ac:dyDescent="0.25">
      <c r="D428" s="91"/>
    </row>
    <row r="429" spans="4:4" x14ac:dyDescent="0.25">
      <c r="D429" s="91"/>
    </row>
    <row r="430" spans="4:4" x14ac:dyDescent="0.25">
      <c r="D430" s="91"/>
    </row>
    <row r="431" spans="4:4" x14ac:dyDescent="0.25">
      <c r="D431" s="91"/>
    </row>
    <row r="432" spans="4:4" x14ac:dyDescent="0.25">
      <c r="D432" s="91"/>
    </row>
    <row r="433" spans="4:4" x14ac:dyDescent="0.25">
      <c r="D433" s="91"/>
    </row>
    <row r="434" spans="4:4" x14ac:dyDescent="0.25">
      <c r="D434" s="91"/>
    </row>
    <row r="435" spans="4:4" x14ac:dyDescent="0.25">
      <c r="D435" s="91"/>
    </row>
    <row r="436" spans="4:4" x14ac:dyDescent="0.25">
      <c r="D436" s="91"/>
    </row>
    <row r="437" spans="4:4" x14ac:dyDescent="0.25">
      <c r="D437" s="91"/>
    </row>
    <row r="438" spans="4:4" x14ac:dyDescent="0.25">
      <c r="D438" s="91"/>
    </row>
    <row r="439" spans="4:4" x14ac:dyDescent="0.25">
      <c r="D439" s="91"/>
    </row>
    <row r="440" spans="4:4" x14ac:dyDescent="0.25">
      <c r="D440" s="91"/>
    </row>
    <row r="441" spans="4:4" x14ac:dyDescent="0.25">
      <c r="D441" s="91"/>
    </row>
    <row r="442" spans="4:4" x14ac:dyDescent="0.25">
      <c r="D442" s="91"/>
    </row>
    <row r="443" spans="4:4" x14ac:dyDescent="0.25">
      <c r="D443" s="91"/>
    </row>
    <row r="444" spans="4:4" x14ac:dyDescent="0.25">
      <c r="D444" s="91"/>
    </row>
    <row r="445" spans="4:4" x14ac:dyDescent="0.25">
      <c r="D445" s="91"/>
    </row>
    <row r="446" spans="4:4" x14ac:dyDescent="0.25">
      <c r="D446" s="91"/>
    </row>
    <row r="447" spans="4:4" x14ac:dyDescent="0.25">
      <c r="D447" s="91"/>
    </row>
    <row r="448" spans="4:4" x14ac:dyDescent="0.25">
      <c r="D448" s="91"/>
    </row>
    <row r="449" spans="4:4" x14ac:dyDescent="0.25">
      <c r="D449" s="91"/>
    </row>
    <row r="450" spans="4:4" x14ac:dyDescent="0.25">
      <c r="D450" s="91"/>
    </row>
    <row r="451" spans="4:4" x14ac:dyDescent="0.25">
      <c r="D451" s="91"/>
    </row>
    <row r="452" spans="4:4" x14ac:dyDescent="0.25">
      <c r="D452" s="91"/>
    </row>
    <row r="453" spans="4:4" x14ac:dyDescent="0.25">
      <c r="D453" s="91"/>
    </row>
    <row r="454" spans="4:4" x14ac:dyDescent="0.25">
      <c r="D454" s="91"/>
    </row>
    <row r="455" spans="4:4" x14ac:dyDescent="0.25">
      <c r="D455" s="91"/>
    </row>
    <row r="456" spans="4:4" x14ac:dyDescent="0.25">
      <c r="D456" s="91"/>
    </row>
    <row r="457" spans="4:4" x14ac:dyDescent="0.25">
      <c r="D457" s="91"/>
    </row>
    <row r="458" spans="4:4" x14ac:dyDescent="0.25">
      <c r="D458" s="91"/>
    </row>
    <row r="459" spans="4:4" x14ac:dyDescent="0.25">
      <c r="D459" s="91"/>
    </row>
    <row r="460" spans="4:4" x14ac:dyDescent="0.25">
      <c r="D460" s="91"/>
    </row>
    <row r="461" spans="4:4" x14ac:dyDescent="0.25">
      <c r="D461" s="91"/>
    </row>
    <row r="462" spans="4:4" x14ac:dyDescent="0.25">
      <c r="D462" s="91"/>
    </row>
    <row r="463" spans="4:4" x14ac:dyDescent="0.25">
      <c r="D463" s="91"/>
    </row>
    <row r="464" spans="4:4" x14ac:dyDescent="0.25">
      <c r="D464" s="91"/>
    </row>
    <row r="465" spans="4:4" x14ac:dyDescent="0.25">
      <c r="D465" s="91"/>
    </row>
    <row r="466" spans="4:4" x14ac:dyDescent="0.25">
      <c r="D466" s="91"/>
    </row>
    <row r="467" spans="4:4" x14ac:dyDescent="0.25">
      <c r="D467" s="91"/>
    </row>
    <row r="468" spans="4:4" x14ac:dyDescent="0.25">
      <c r="D468" s="91"/>
    </row>
    <row r="469" spans="4:4" x14ac:dyDescent="0.25">
      <c r="D469" s="91"/>
    </row>
    <row r="470" spans="4:4" x14ac:dyDescent="0.25">
      <c r="D470" s="91"/>
    </row>
    <row r="471" spans="4:4" x14ac:dyDescent="0.25">
      <c r="D471" s="91"/>
    </row>
    <row r="472" spans="4:4" x14ac:dyDescent="0.25">
      <c r="D472" s="91"/>
    </row>
    <row r="473" spans="4:4" x14ac:dyDescent="0.25">
      <c r="D473" s="91"/>
    </row>
    <row r="474" spans="4:4" x14ac:dyDescent="0.25">
      <c r="D474" s="91"/>
    </row>
    <row r="475" spans="4:4" x14ac:dyDescent="0.25">
      <c r="D475" s="91"/>
    </row>
    <row r="476" spans="4:4" x14ac:dyDescent="0.25">
      <c r="D476" s="91"/>
    </row>
    <row r="477" spans="4:4" x14ac:dyDescent="0.25">
      <c r="D477" s="91"/>
    </row>
    <row r="478" spans="4:4" x14ac:dyDescent="0.25">
      <c r="D478" s="91"/>
    </row>
    <row r="479" spans="4:4" x14ac:dyDescent="0.25">
      <c r="D479" s="91"/>
    </row>
    <row r="480" spans="4:4" x14ac:dyDescent="0.25">
      <c r="D480" s="91"/>
    </row>
    <row r="481" spans="4:4" x14ac:dyDescent="0.25">
      <c r="D481" s="91"/>
    </row>
    <row r="482" spans="4:4" x14ac:dyDescent="0.25">
      <c r="D482" s="91"/>
    </row>
    <row r="483" spans="4:4" x14ac:dyDescent="0.25">
      <c r="D483" s="91"/>
    </row>
    <row r="484" spans="4:4" x14ac:dyDescent="0.25">
      <c r="D484" s="91"/>
    </row>
    <row r="485" spans="4:4" x14ac:dyDescent="0.25">
      <c r="D485" s="91"/>
    </row>
    <row r="486" spans="4:4" x14ac:dyDescent="0.25">
      <c r="D486" s="91"/>
    </row>
    <row r="487" spans="4:4" x14ac:dyDescent="0.25">
      <c r="D487" s="91"/>
    </row>
    <row r="488" spans="4:4" x14ac:dyDescent="0.25">
      <c r="D488" s="91"/>
    </row>
    <row r="489" spans="4:4" x14ac:dyDescent="0.25">
      <c r="D489" s="91"/>
    </row>
    <row r="490" spans="4:4" x14ac:dyDescent="0.25">
      <c r="D490" s="91"/>
    </row>
    <row r="491" spans="4:4" x14ac:dyDescent="0.25">
      <c r="D491" s="91"/>
    </row>
    <row r="492" spans="4:4" x14ac:dyDescent="0.25">
      <c r="D492" s="91"/>
    </row>
    <row r="493" spans="4:4" x14ac:dyDescent="0.25">
      <c r="D493" s="91"/>
    </row>
    <row r="494" spans="4:4" x14ac:dyDescent="0.25">
      <c r="D494" s="91"/>
    </row>
    <row r="495" spans="4:4" x14ac:dyDescent="0.25">
      <c r="D495" s="91"/>
    </row>
    <row r="496" spans="4:4" x14ac:dyDescent="0.25">
      <c r="D496" s="91"/>
    </row>
    <row r="497" spans="4:4" x14ac:dyDescent="0.25">
      <c r="D497" s="91"/>
    </row>
    <row r="498" spans="4:4" x14ac:dyDescent="0.25">
      <c r="D498" s="91"/>
    </row>
    <row r="499" spans="4:4" x14ac:dyDescent="0.25">
      <c r="D499" s="91"/>
    </row>
    <row r="500" spans="4:4" x14ac:dyDescent="0.25">
      <c r="D500" s="91"/>
    </row>
    <row r="501" spans="4:4" x14ac:dyDescent="0.25">
      <c r="D501" s="91"/>
    </row>
    <row r="502" spans="4:4" x14ac:dyDescent="0.25">
      <c r="D502" s="91"/>
    </row>
    <row r="503" spans="4:4" x14ac:dyDescent="0.25">
      <c r="D503" s="91"/>
    </row>
    <row r="504" spans="4:4" x14ac:dyDescent="0.25">
      <c r="D504" s="91"/>
    </row>
    <row r="505" spans="4:4" x14ac:dyDescent="0.25">
      <c r="D505" s="91"/>
    </row>
    <row r="506" spans="4:4" x14ac:dyDescent="0.25">
      <c r="D506" s="91"/>
    </row>
    <row r="507" spans="4:4" x14ac:dyDescent="0.25">
      <c r="D507" s="91"/>
    </row>
    <row r="508" spans="4:4" x14ac:dyDescent="0.25">
      <c r="D508" s="91"/>
    </row>
    <row r="509" spans="4:4" x14ac:dyDescent="0.25">
      <c r="D509" s="91"/>
    </row>
    <row r="510" spans="4:4" x14ac:dyDescent="0.25">
      <c r="D510" s="91"/>
    </row>
    <row r="511" spans="4:4" x14ac:dyDescent="0.25">
      <c r="D511" s="91"/>
    </row>
    <row r="512" spans="4:4" x14ac:dyDescent="0.25">
      <c r="D512" s="91"/>
    </row>
    <row r="513" spans="4:4" x14ac:dyDescent="0.25">
      <c r="D513" s="91"/>
    </row>
    <row r="514" spans="4:4" x14ac:dyDescent="0.25">
      <c r="D514" s="91"/>
    </row>
    <row r="515" spans="4:4" x14ac:dyDescent="0.25">
      <c r="D515" s="91"/>
    </row>
    <row r="516" spans="4:4" x14ac:dyDescent="0.25">
      <c r="D516" s="91"/>
    </row>
    <row r="517" spans="4:4" x14ac:dyDescent="0.25">
      <c r="D517" s="91"/>
    </row>
    <row r="518" spans="4:4" x14ac:dyDescent="0.25">
      <c r="D518" s="91"/>
    </row>
    <row r="519" spans="4:4" x14ac:dyDescent="0.25">
      <c r="D519" s="91"/>
    </row>
    <row r="520" spans="4:4" x14ac:dyDescent="0.25">
      <c r="D520" s="91"/>
    </row>
    <row r="521" spans="4:4" x14ac:dyDescent="0.25">
      <c r="D521" s="91"/>
    </row>
    <row r="522" spans="4:4" x14ac:dyDescent="0.25">
      <c r="D522" s="91"/>
    </row>
    <row r="523" spans="4:4" x14ac:dyDescent="0.25">
      <c r="D523" s="91"/>
    </row>
    <row r="524" spans="4:4" x14ac:dyDescent="0.25">
      <c r="D524" s="91"/>
    </row>
    <row r="525" spans="4:4" x14ac:dyDescent="0.25">
      <c r="D525" s="91"/>
    </row>
    <row r="526" spans="4:4" x14ac:dyDescent="0.25">
      <c r="D526" s="91"/>
    </row>
    <row r="527" spans="4:4" x14ac:dyDescent="0.25">
      <c r="D527" s="91"/>
    </row>
    <row r="528" spans="4:4" x14ac:dyDescent="0.25">
      <c r="D528" s="91"/>
    </row>
    <row r="529" spans="4:4" x14ac:dyDescent="0.25">
      <c r="D529" s="91"/>
    </row>
    <row r="530" spans="4:4" x14ac:dyDescent="0.25">
      <c r="D530" s="91"/>
    </row>
    <row r="531" spans="4:4" x14ac:dyDescent="0.25">
      <c r="D531" s="91"/>
    </row>
    <row r="532" spans="4:4" x14ac:dyDescent="0.25">
      <c r="D532" s="91"/>
    </row>
    <row r="533" spans="4:4" x14ac:dyDescent="0.25">
      <c r="D533" s="91"/>
    </row>
    <row r="534" spans="4:4" x14ac:dyDescent="0.25">
      <c r="D534" s="91"/>
    </row>
    <row r="535" spans="4:4" x14ac:dyDescent="0.25">
      <c r="D535" s="91"/>
    </row>
    <row r="536" spans="4:4" x14ac:dyDescent="0.25">
      <c r="D536" s="91"/>
    </row>
    <row r="537" spans="4:4" x14ac:dyDescent="0.25">
      <c r="D537" s="91"/>
    </row>
    <row r="538" spans="4:4" x14ac:dyDescent="0.25">
      <c r="D538" s="91"/>
    </row>
    <row r="539" spans="4:4" x14ac:dyDescent="0.25">
      <c r="D539" s="91"/>
    </row>
    <row r="540" spans="4:4" x14ac:dyDescent="0.25">
      <c r="D540" s="91"/>
    </row>
    <row r="541" spans="4:4" x14ac:dyDescent="0.25">
      <c r="D541" s="91"/>
    </row>
    <row r="542" spans="4:4" x14ac:dyDescent="0.25">
      <c r="D542" s="91"/>
    </row>
    <row r="543" spans="4:4" x14ac:dyDescent="0.25">
      <c r="D543" s="91"/>
    </row>
    <row r="544" spans="4:4" x14ac:dyDescent="0.25">
      <c r="D544" s="91"/>
    </row>
    <row r="545" spans="4:4" x14ac:dyDescent="0.25">
      <c r="D545" s="91"/>
    </row>
    <row r="546" spans="4:4" x14ac:dyDescent="0.25">
      <c r="D546" s="91"/>
    </row>
    <row r="547" spans="4:4" x14ac:dyDescent="0.25">
      <c r="D547" s="91"/>
    </row>
    <row r="548" spans="4:4" x14ac:dyDescent="0.25">
      <c r="D548" s="91"/>
    </row>
    <row r="549" spans="4:4" x14ac:dyDescent="0.25">
      <c r="D549" s="91"/>
    </row>
    <row r="550" spans="4:4" x14ac:dyDescent="0.25">
      <c r="D550" s="91"/>
    </row>
    <row r="551" spans="4:4" x14ac:dyDescent="0.25">
      <c r="D551" s="91"/>
    </row>
    <row r="552" spans="4:4" x14ac:dyDescent="0.25">
      <c r="D552" s="91"/>
    </row>
    <row r="553" spans="4:4" x14ac:dyDescent="0.25">
      <c r="D553" s="91"/>
    </row>
    <row r="554" spans="4:4" x14ac:dyDescent="0.25">
      <c r="D554" s="91"/>
    </row>
    <row r="555" spans="4:4" x14ac:dyDescent="0.25">
      <c r="D555" s="91"/>
    </row>
    <row r="556" spans="4:4" x14ac:dyDescent="0.25">
      <c r="D556" s="91"/>
    </row>
    <row r="557" spans="4:4" x14ac:dyDescent="0.25">
      <c r="D557" s="91"/>
    </row>
    <row r="558" spans="4:4" x14ac:dyDescent="0.25">
      <c r="D558" s="91"/>
    </row>
    <row r="559" spans="4:4" x14ac:dyDescent="0.25">
      <c r="D559" s="91"/>
    </row>
    <row r="560" spans="4:4" x14ac:dyDescent="0.25">
      <c r="D560" s="91"/>
    </row>
    <row r="561" spans="4:4" x14ac:dyDescent="0.25">
      <c r="D561" s="91"/>
    </row>
    <row r="562" spans="4:4" x14ac:dyDescent="0.25">
      <c r="D562" s="91"/>
    </row>
    <row r="563" spans="4:4" x14ac:dyDescent="0.25">
      <c r="D563" s="91"/>
    </row>
    <row r="564" spans="4:4" x14ac:dyDescent="0.25">
      <c r="D564" s="91"/>
    </row>
    <row r="565" spans="4:4" x14ac:dyDescent="0.25">
      <c r="D565" s="91"/>
    </row>
    <row r="566" spans="4:4" x14ac:dyDescent="0.25">
      <c r="D566" s="91"/>
    </row>
    <row r="567" spans="4:4" x14ac:dyDescent="0.25">
      <c r="D567" s="91"/>
    </row>
    <row r="568" spans="4:4" x14ac:dyDescent="0.25">
      <c r="D568" s="91"/>
    </row>
    <row r="569" spans="4:4" x14ac:dyDescent="0.25">
      <c r="D569" s="91"/>
    </row>
    <row r="570" spans="4:4" x14ac:dyDescent="0.25">
      <c r="D570" s="91"/>
    </row>
    <row r="571" spans="4:4" x14ac:dyDescent="0.25">
      <c r="D571" s="91"/>
    </row>
    <row r="572" spans="4:4" x14ac:dyDescent="0.25">
      <c r="D572" s="91"/>
    </row>
    <row r="573" spans="4:4" x14ac:dyDescent="0.25">
      <c r="D573" s="91"/>
    </row>
    <row r="574" spans="4:4" x14ac:dyDescent="0.25">
      <c r="D574" s="91"/>
    </row>
    <row r="575" spans="4:4" x14ac:dyDescent="0.25">
      <c r="D575" s="91"/>
    </row>
    <row r="576" spans="4:4" x14ac:dyDescent="0.25">
      <c r="D576" s="91"/>
    </row>
    <row r="577" spans="4:4" x14ac:dyDescent="0.25">
      <c r="D577" s="91"/>
    </row>
    <row r="578" spans="4:4" x14ac:dyDescent="0.25">
      <c r="D578" s="91"/>
    </row>
    <row r="579" spans="4:4" x14ac:dyDescent="0.25">
      <c r="D579" s="91"/>
    </row>
    <row r="580" spans="4:4" x14ac:dyDescent="0.25">
      <c r="D580" s="91"/>
    </row>
    <row r="581" spans="4:4" x14ac:dyDescent="0.25">
      <c r="D581" s="91"/>
    </row>
    <row r="582" spans="4:4" x14ac:dyDescent="0.25">
      <c r="D582" s="91"/>
    </row>
    <row r="583" spans="4:4" x14ac:dyDescent="0.25">
      <c r="D583" s="91"/>
    </row>
    <row r="584" spans="4:4" x14ac:dyDescent="0.25">
      <c r="D584" s="91"/>
    </row>
    <row r="585" spans="4:4" x14ac:dyDescent="0.25">
      <c r="D585" s="91"/>
    </row>
    <row r="586" spans="4:4" x14ac:dyDescent="0.25">
      <c r="D586" s="91"/>
    </row>
    <row r="587" spans="4:4" x14ac:dyDescent="0.25">
      <c r="D587" s="91"/>
    </row>
    <row r="588" spans="4:4" x14ac:dyDescent="0.25">
      <c r="D588" s="91"/>
    </row>
    <row r="589" spans="4:4" x14ac:dyDescent="0.25">
      <c r="D589" s="91"/>
    </row>
    <row r="590" spans="4:4" x14ac:dyDescent="0.25">
      <c r="D590" s="91"/>
    </row>
    <row r="591" spans="4:4" x14ac:dyDescent="0.25">
      <c r="D591" s="91"/>
    </row>
    <row r="592" spans="4:4" x14ac:dyDescent="0.25">
      <c r="D592" s="91"/>
    </row>
    <row r="593" spans="4:4" x14ac:dyDescent="0.25">
      <c r="D593" s="91"/>
    </row>
    <row r="594" spans="4:4" x14ac:dyDescent="0.25">
      <c r="D594" s="91"/>
    </row>
    <row r="595" spans="4:4" x14ac:dyDescent="0.25">
      <c r="D595" s="91"/>
    </row>
    <row r="596" spans="4:4" x14ac:dyDescent="0.25">
      <c r="D596" s="91"/>
    </row>
    <row r="597" spans="4:4" x14ac:dyDescent="0.25">
      <c r="D597" s="91"/>
    </row>
    <row r="598" spans="4:4" x14ac:dyDescent="0.25">
      <c r="D598" s="91"/>
    </row>
    <row r="599" spans="4:4" x14ac:dyDescent="0.25">
      <c r="D599" s="91"/>
    </row>
    <row r="600" spans="4:4" x14ac:dyDescent="0.25">
      <c r="D600" s="91"/>
    </row>
    <row r="601" spans="4:4" x14ac:dyDescent="0.25">
      <c r="D601" s="91"/>
    </row>
    <row r="602" spans="4:4" x14ac:dyDescent="0.25">
      <c r="D602" s="91"/>
    </row>
    <row r="603" spans="4:4" x14ac:dyDescent="0.25">
      <c r="D603" s="91"/>
    </row>
    <row r="604" spans="4:4" x14ac:dyDescent="0.25">
      <c r="D604" s="91"/>
    </row>
    <row r="605" spans="4:4" x14ac:dyDescent="0.25">
      <c r="D605" s="91"/>
    </row>
    <row r="606" spans="4:4" x14ac:dyDescent="0.25">
      <c r="D606" s="91"/>
    </row>
    <row r="607" spans="4:4" x14ac:dyDescent="0.25">
      <c r="D607" s="91"/>
    </row>
    <row r="608" spans="4:4" x14ac:dyDescent="0.25">
      <c r="D608" s="91"/>
    </row>
    <row r="609" spans="4:4" x14ac:dyDescent="0.25">
      <c r="D609" s="91"/>
    </row>
    <row r="610" spans="4:4" x14ac:dyDescent="0.25">
      <c r="D610" s="91"/>
    </row>
    <row r="611" spans="4:4" x14ac:dyDescent="0.25">
      <c r="D611" s="91"/>
    </row>
    <row r="612" spans="4:4" x14ac:dyDescent="0.25">
      <c r="D612" s="91"/>
    </row>
    <row r="613" spans="4:4" x14ac:dyDescent="0.25">
      <c r="D613" s="91"/>
    </row>
    <row r="614" spans="4:4" x14ac:dyDescent="0.25">
      <c r="D614" s="91"/>
    </row>
    <row r="615" spans="4:4" x14ac:dyDescent="0.25">
      <c r="D615" s="91"/>
    </row>
    <row r="616" spans="4:4" x14ac:dyDescent="0.25">
      <c r="D616" s="91"/>
    </row>
    <row r="617" spans="4:4" x14ac:dyDescent="0.25">
      <c r="D617" s="91"/>
    </row>
    <row r="618" spans="4:4" x14ac:dyDescent="0.25">
      <c r="D618" s="91"/>
    </row>
    <row r="619" spans="4:4" x14ac:dyDescent="0.25">
      <c r="D619" s="91"/>
    </row>
    <row r="620" spans="4:4" x14ac:dyDescent="0.25">
      <c r="D620" s="91"/>
    </row>
    <row r="621" spans="4:4" x14ac:dyDescent="0.25">
      <c r="D621" s="91"/>
    </row>
    <row r="622" spans="4:4" x14ac:dyDescent="0.25">
      <c r="D622" s="91"/>
    </row>
    <row r="623" spans="4:4" x14ac:dyDescent="0.25">
      <c r="D623" s="91"/>
    </row>
    <row r="624" spans="4:4" x14ac:dyDescent="0.25">
      <c r="D624" s="91"/>
    </row>
    <row r="625" spans="4:4" x14ac:dyDescent="0.25">
      <c r="D625" s="91"/>
    </row>
    <row r="626" spans="4:4" x14ac:dyDescent="0.25">
      <c r="D626" s="91"/>
    </row>
    <row r="627" spans="4:4" x14ac:dyDescent="0.25">
      <c r="D627" s="91"/>
    </row>
    <row r="628" spans="4:4" x14ac:dyDescent="0.25">
      <c r="D628" s="91"/>
    </row>
    <row r="629" spans="4:4" x14ac:dyDescent="0.25">
      <c r="D629" s="91"/>
    </row>
    <row r="630" spans="4:4" x14ac:dyDescent="0.25">
      <c r="D630" s="91"/>
    </row>
    <row r="631" spans="4:4" x14ac:dyDescent="0.25">
      <c r="D631" s="91"/>
    </row>
    <row r="632" spans="4:4" x14ac:dyDescent="0.25">
      <c r="D632" s="91"/>
    </row>
    <row r="633" spans="4:4" x14ac:dyDescent="0.25">
      <c r="D633" s="91"/>
    </row>
    <row r="634" spans="4:4" x14ac:dyDescent="0.25">
      <c r="D634" s="91"/>
    </row>
    <row r="635" spans="4:4" x14ac:dyDescent="0.25">
      <c r="D635" s="91"/>
    </row>
    <row r="636" spans="4:4" x14ac:dyDescent="0.25">
      <c r="D636" s="91"/>
    </row>
    <row r="637" spans="4:4" x14ac:dyDescent="0.25">
      <c r="D637" s="91"/>
    </row>
    <row r="638" spans="4:4" x14ac:dyDescent="0.25">
      <c r="D638" s="91"/>
    </row>
    <row r="639" spans="4:4" x14ac:dyDescent="0.25">
      <c r="D639" s="91"/>
    </row>
    <row r="640" spans="4:4" x14ac:dyDescent="0.25">
      <c r="D640" s="91"/>
    </row>
    <row r="641" spans="4:4" x14ac:dyDescent="0.25">
      <c r="D641" s="91"/>
    </row>
    <row r="642" spans="4:4" x14ac:dyDescent="0.25">
      <c r="D642" s="91"/>
    </row>
    <row r="643" spans="4:4" x14ac:dyDescent="0.25">
      <c r="D643" s="91"/>
    </row>
    <row r="644" spans="4:4" x14ac:dyDescent="0.25">
      <c r="D644" s="91"/>
    </row>
    <row r="645" spans="4:4" x14ac:dyDescent="0.25">
      <c r="D645" s="91"/>
    </row>
    <row r="646" spans="4:4" x14ac:dyDescent="0.25">
      <c r="D646" s="91"/>
    </row>
    <row r="647" spans="4:4" x14ac:dyDescent="0.25">
      <c r="D647" s="91"/>
    </row>
    <row r="648" spans="4:4" x14ac:dyDescent="0.25">
      <c r="D648" s="91"/>
    </row>
    <row r="649" spans="4:4" x14ac:dyDescent="0.25">
      <c r="D649" s="91"/>
    </row>
  </sheetData>
  <phoneticPr fontId="2" type="noConversion"/>
  <pageMargins left="0.78740157499999996" right="0.78740157499999996" top="0.984251969" bottom="0.984251969" header="0.4921259845" footer="0.492125984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4"/>
  <dimension ref="B1:Z92"/>
  <sheetViews>
    <sheetView workbookViewId="0">
      <selection activeCell="D2" sqref="D2"/>
    </sheetView>
  </sheetViews>
  <sheetFormatPr baseColWidth="10" defaultColWidth="11.453125" defaultRowHeight="10" x14ac:dyDescent="0.2"/>
  <cols>
    <col min="1" max="1" width="1.453125" style="13" customWidth="1"/>
    <col min="2" max="2" width="21" style="13" bestFit="1" customWidth="1"/>
    <col min="3" max="3" width="1.7265625" style="13" customWidth="1"/>
    <col min="4" max="4" width="16.54296875" style="13" bestFit="1" customWidth="1"/>
    <col min="5" max="5" width="1.1796875" style="13" customWidth="1"/>
    <col min="6" max="6" width="11.1796875" style="13" customWidth="1"/>
    <col min="7" max="7" width="19.7265625" style="13" bestFit="1" customWidth="1"/>
    <col min="8" max="8" width="25.1796875" style="13" bestFit="1" customWidth="1"/>
    <col min="9" max="9" width="19.26953125" style="13" bestFit="1" customWidth="1"/>
    <col min="10" max="10" width="21" style="13" bestFit="1" customWidth="1"/>
    <col min="11" max="11" width="19.453125" style="13" bestFit="1" customWidth="1"/>
    <col min="12" max="12" width="23.1796875" style="13" bestFit="1" customWidth="1"/>
    <col min="13" max="13" width="19.26953125" style="13" bestFit="1" customWidth="1"/>
    <col min="14" max="14" width="19.54296875" style="13" bestFit="1" customWidth="1"/>
    <col min="15" max="15" width="10.54296875" style="13" bestFit="1" customWidth="1"/>
    <col min="16" max="16" width="11.453125" style="13"/>
    <col min="17" max="17" width="18.7265625" style="13" bestFit="1" customWidth="1"/>
    <col min="18" max="18" width="19.54296875" style="13" bestFit="1" customWidth="1"/>
    <col min="19" max="19" width="25.1796875" style="13" bestFit="1" customWidth="1"/>
    <col min="20" max="20" width="19.26953125" style="13" bestFit="1" customWidth="1"/>
    <col min="21" max="21" width="20.26953125" style="13" bestFit="1" customWidth="1"/>
    <col min="22" max="22" width="24.26953125" style="13" bestFit="1" customWidth="1"/>
    <col min="23" max="23" width="11.453125" style="13"/>
    <col min="24" max="24" width="19.26953125" style="13" bestFit="1" customWidth="1"/>
    <col min="25" max="25" width="13.26953125" style="13" bestFit="1" customWidth="1"/>
    <col min="26" max="16384" width="11.453125" style="13"/>
  </cols>
  <sheetData>
    <row r="1" spans="2:26" ht="10.5" x14ac:dyDescent="0.25">
      <c r="F1" s="12" t="s">
        <v>36</v>
      </c>
      <c r="J1" s="136"/>
    </row>
    <row r="2" spans="2:26" ht="39.75" customHeight="1" x14ac:dyDescent="0.25">
      <c r="B2" s="44"/>
      <c r="G2" s="858" t="s">
        <v>67</v>
      </c>
      <c r="H2" s="858"/>
      <c r="I2" s="858"/>
      <c r="J2" s="858"/>
      <c r="K2" s="858"/>
      <c r="L2" s="858"/>
      <c r="M2" s="858"/>
      <c r="N2" s="858"/>
    </row>
    <row r="3" spans="2:26" x14ac:dyDescent="0.2">
      <c r="F3" s="183" t="s">
        <v>34</v>
      </c>
      <c r="G3" s="73">
        <v>3</v>
      </c>
      <c r="H3" s="73">
        <v>6</v>
      </c>
      <c r="I3" s="73">
        <v>1</v>
      </c>
      <c r="J3" s="73">
        <v>4</v>
      </c>
      <c r="K3" s="73">
        <v>1</v>
      </c>
      <c r="L3" s="73">
        <v>1</v>
      </c>
      <c r="M3" s="73">
        <v>4</v>
      </c>
      <c r="N3" s="73">
        <v>2</v>
      </c>
      <c r="O3" s="15" t="s">
        <v>34</v>
      </c>
      <c r="Q3" s="181" t="s">
        <v>35</v>
      </c>
      <c r="R3" s="125"/>
      <c r="S3" s="73">
        <v>1</v>
      </c>
      <c r="T3" s="73">
        <v>1</v>
      </c>
      <c r="U3" s="73">
        <v>4</v>
      </c>
      <c r="V3" s="73">
        <v>1</v>
      </c>
      <c r="W3" s="125"/>
      <c r="X3" s="73">
        <v>4</v>
      </c>
      <c r="Y3" s="73">
        <v>1</v>
      </c>
      <c r="Z3" s="13" t="s">
        <v>35</v>
      </c>
    </row>
    <row r="4" spans="2:26" ht="10.5" x14ac:dyDescent="0.25">
      <c r="B4" s="44" t="s">
        <v>142</v>
      </c>
      <c r="C4" s="44"/>
      <c r="D4" s="44" t="s">
        <v>147</v>
      </c>
      <c r="E4" s="44"/>
      <c r="F4" s="181" t="s">
        <v>138</v>
      </c>
      <c r="G4" s="73" t="str">
        <f ca="1">IF(ISERROR(G6),"",INDEX(G6:G35,G3))</f>
        <v>802.11ac (5 GHz)</v>
      </c>
      <c r="H4" s="73" t="str">
        <f ca="1">INDEX(H6:H45,H3)</f>
        <v>LANCOM LN-1702B</v>
      </c>
      <c r="I4" s="73" t="str">
        <f ca="1">INDEX(I6:I45,I3)</f>
        <v>AirLancer Cable NJ-NP 3m</v>
      </c>
      <c r="J4" s="73" t="str">
        <f ca="1">INDEX(J6:J45,J3)</f>
        <v>AirLancer ON-T60ag</v>
      </c>
      <c r="K4" s="73" t="str">
        <f ca="1">INDEX(K6:K15,K3)</f>
        <v>No surge arrestor</v>
      </c>
      <c r="L4" s="281" t="str">
        <f>INDEX(L6:L7,L3)</f>
        <v>Yes</v>
      </c>
      <c r="M4" s="73" t="str">
        <f ca="1">INDEX(M6:M45,M3)</f>
        <v>No cable</v>
      </c>
      <c r="N4" s="73" t="str">
        <f ca="1">INDEX(N6:N45,N3)</f>
        <v>QCA9984</v>
      </c>
      <c r="O4" s="13" t="s">
        <v>138</v>
      </c>
      <c r="Q4" s="181" t="s">
        <v>141</v>
      </c>
      <c r="R4" s="125"/>
      <c r="S4" s="73" t="str">
        <f ca="1">INDEX(S6:S45,S3)</f>
        <v>LANCOM OAP-1702B</v>
      </c>
      <c r="T4" s="73" t="str">
        <f ca="1">INDEX(T6:T45,T3)</f>
        <v>AirLancer Cable NJ-NP 3m</v>
      </c>
      <c r="U4" s="73" t="str">
        <f ca="1">INDEX(U6:U45,U3)</f>
        <v>AirLancer ON-T60ag</v>
      </c>
      <c r="V4" s="73" t="str">
        <f ca="1">INDEX(V6:V15,V3)</f>
        <v>No surge arrestor</v>
      </c>
      <c r="W4" s="125"/>
      <c r="X4" s="73" t="str">
        <f ca="1">INDEX(X6:X45,X3)</f>
        <v>No cable</v>
      </c>
      <c r="Y4" s="73" t="str">
        <f ca="1">INDEX(Y6:Y45,Y3)</f>
        <v>QCA9994 (5 GHz)</v>
      </c>
      <c r="Z4" s="13" t="s">
        <v>141</v>
      </c>
    </row>
    <row r="5" spans="2:26" ht="10.5" x14ac:dyDescent="0.25">
      <c r="B5" s="73" t="str">
        <f ca="1">IF(ISERROR(SEARCHB(B7,G4)),B8,B7)</f>
        <v>5 GHz</v>
      </c>
      <c r="C5" s="162"/>
      <c r="D5" s="143" t="s">
        <v>148</v>
      </c>
      <c r="E5" s="162"/>
      <c r="F5" s="182" t="s">
        <v>47</v>
      </c>
      <c r="G5" s="142" t="s">
        <v>37</v>
      </c>
      <c r="H5" s="142" t="s">
        <v>33</v>
      </c>
      <c r="I5" s="142" t="s">
        <v>21</v>
      </c>
      <c r="J5" s="142" t="s">
        <v>19</v>
      </c>
      <c r="K5" s="142" t="s">
        <v>20</v>
      </c>
      <c r="L5" s="142" t="s">
        <v>32</v>
      </c>
      <c r="M5" s="142" t="s">
        <v>22</v>
      </c>
      <c r="N5" s="142" t="s">
        <v>100</v>
      </c>
      <c r="O5" s="15"/>
      <c r="Q5" s="182" t="s">
        <v>53</v>
      </c>
      <c r="R5" s="132"/>
      <c r="S5" s="142" t="s">
        <v>33</v>
      </c>
      <c r="T5" s="142" t="s">
        <v>21</v>
      </c>
      <c r="U5" s="142" t="s">
        <v>19</v>
      </c>
      <c r="V5" s="142" t="s">
        <v>20</v>
      </c>
      <c r="W5" s="132"/>
      <c r="X5" s="142" t="s">
        <v>22</v>
      </c>
      <c r="Y5" s="142" t="s">
        <v>100</v>
      </c>
    </row>
    <row r="6" spans="2:26" ht="10.5" x14ac:dyDescent="0.25">
      <c r="B6" s="44" t="s">
        <v>37</v>
      </c>
      <c r="C6" s="162"/>
      <c r="D6" s="144" t="s">
        <v>149</v>
      </c>
      <c r="E6" s="162"/>
      <c r="F6" s="14">
        <v>1</v>
      </c>
      <c r="G6" s="126" t="str">
        <f ca="1">PointATempTables!Q4</f>
        <v>802.11a (5 GHz)</v>
      </c>
      <c r="H6" s="255" t="str">
        <f ca="1">ProductTable!E7</f>
        <v>LANCOM OAP-1702B</v>
      </c>
      <c r="I6" s="280" t="str">
        <f ca="1">PointATempTables!AH4</f>
        <v>AirLancer Cable NJ-NP 3m</v>
      </c>
      <c r="J6" s="126" t="str">
        <f ca="1">PointATempTables!BF4</f>
        <v>AirLancer O-9a</v>
      </c>
      <c r="K6" s="255" t="str">
        <f ca="1">PointATempTables!AU4</f>
        <v>No surge arrestor</v>
      </c>
      <c r="L6" s="280" t="str">
        <f>LanguageTable!B9</f>
        <v>Yes</v>
      </c>
      <c r="M6" s="126" t="str">
        <f ca="1">PointATempTables!BL4</f>
        <v>AirLancer Cable NJ-NP 3m</v>
      </c>
      <c r="N6" s="240" t="str">
        <f ca="1">PointATempTables!F4</f>
        <v>AR9390</v>
      </c>
      <c r="O6" s="16">
        <v>1</v>
      </c>
      <c r="Q6" s="182">
        <v>1</v>
      </c>
      <c r="R6" s="270"/>
      <c r="S6" s="273" t="str">
        <f ca="1">PointBTempTables!F4</f>
        <v>LANCOM OAP-1702B</v>
      </c>
      <c r="T6" s="273" t="str">
        <f ca="1">PointBTempTables!AH4</f>
        <v>AirLancer Cable NJ-NP 3m</v>
      </c>
      <c r="U6" s="545" t="str">
        <f ca="1">PointBTempTables!BF4</f>
        <v>AirLancer O-9a</v>
      </c>
      <c r="V6" s="276" t="str">
        <f ca="1">PointBTempTables!AU4</f>
        <v>No surge arrestor</v>
      </c>
      <c r="W6" s="277"/>
      <c r="X6" s="127" t="str">
        <f ca="1">PointBTempTables!BL4</f>
        <v>AirLancer Cable NJ-NP 3m</v>
      </c>
      <c r="Y6" s="240" t="str">
        <f ca="1">PointBTempTables!Q4</f>
        <v>QCA9994 (5 GHz)</v>
      </c>
      <c r="Z6" s="16">
        <v>1</v>
      </c>
    </row>
    <row r="7" spans="2:26" x14ac:dyDescent="0.2">
      <c r="B7" s="194" t="s">
        <v>344</v>
      </c>
      <c r="C7" s="162"/>
      <c r="D7" s="144" t="s">
        <v>182</v>
      </c>
      <c r="E7" s="162"/>
      <c r="F7" s="14">
        <v>2</v>
      </c>
      <c r="G7" s="128" t="str">
        <f ca="1">PointATempTables!Q5</f>
        <v>802.11a/n (5 GHz)</v>
      </c>
      <c r="H7" s="256" t="str">
        <f ca="1">ProductTable!E8</f>
        <v>LANCOM OAP-1700B</v>
      </c>
      <c r="I7" s="138" t="str">
        <f ca="1">PointATempTables!AH5</f>
        <v>AirLancer Cable NJ-NP 6m</v>
      </c>
      <c r="J7" s="128" t="str">
        <f ca="1">PointATempTables!BF5</f>
        <v>AirLancer ON-D9a</v>
      </c>
      <c r="K7" s="256" t="str">
        <f ca="1">PointATempTables!AU5</f>
        <v>AirLancer SN-ANT</v>
      </c>
      <c r="L7" s="544" t="str">
        <f>LanguageTable!B10</f>
        <v>No</v>
      </c>
      <c r="M7" s="128" t="str">
        <f ca="1">PointATempTables!BL5</f>
        <v>AirLancer Cable NJ-NP 6m</v>
      </c>
      <c r="N7" s="258" t="str">
        <f ca="1">PointATempTables!F5</f>
        <v>QCA9984</v>
      </c>
      <c r="O7" s="16">
        <v>2</v>
      </c>
      <c r="Q7" s="14">
        <v>2</v>
      </c>
      <c r="R7" s="271"/>
      <c r="S7" s="274" t="str">
        <f ca="1">PointBTempTables!F5</f>
        <v>LANCOM OAP-1700B</v>
      </c>
      <c r="T7" s="274" t="str">
        <f ca="1">PointBTempTables!AH5</f>
        <v>AirLancer Cable NJ-NP 6m</v>
      </c>
      <c r="U7" s="545" t="str">
        <f ca="1">PointBTempTables!BF5</f>
        <v>AirLancer ON-D9a</v>
      </c>
      <c r="V7" s="139" t="str">
        <f ca="1">PointBTempTables!AU5</f>
        <v>AirLancer SN-ANT</v>
      </c>
      <c r="W7" s="278"/>
      <c r="X7" s="129" t="str">
        <f ca="1">PointBTempTables!BL5</f>
        <v>AirLancer Cable NJ-NP 6m</v>
      </c>
      <c r="Y7" s="258" t="str">
        <f ca="1">PointBTempTables!Q5</f>
        <v/>
      </c>
      <c r="Z7" s="16">
        <v>2</v>
      </c>
    </row>
    <row r="8" spans="2:26" x14ac:dyDescent="0.2">
      <c r="B8" s="160" t="s">
        <v>345</v>
      </c>
      <c r="C8" s="162"/>
      <c r="D8" s="144"/>
      <c r="E8" s="162"/>
      <c r="F8" s="14">
        <v>3</v>
      </c>
      <c r="G8" s="128" t="str">
        <f ca="1">PointATempTables!Q6</f>
        <v>802.11ac (5 GHz)</v>
      </c>
      <c r="H8" s="256" t="str">
        <f ca="1">ProductTable!E9</f>
        <v>LANCOM OAP-822</v>
      </c>
      <c r="I8" s="138" t="str">
        <f ca="1">PointATempTables!AH6</f>
        <v>AirLancer Cable NJ-NP 9m</v>
      </c>
      <c r="J8" s="128" t="str">
        <f ca="1">PointATempTables!BF6</f>
        <v>AirLancer ON-360ag</v>
      </c>
      <c r="K8" s="139" t="str">
        <f ca="1">PointATempTables!AU6</f>
        <v/>
      </c>
      <c r="L8" s="15"/>
      <c r="M8" s="128" t="str">
        <f ca="1">PointATempTables!BL6</f>
        <v>AirLancer Cable NJ-NP 9m</v>
      </c>
      <c r="N8" s="258" t="str">
        <f ca="1">PointATempTables!F6</f>
        <v/>
      </c>
      <c r="O8" s="16">
        <v>3</v>
      </c>
      <c r="Q8" s="14">
        <v>3</v>
      </c>
      <c r="R8" s="271"/>
      <c r="S8" s="274" t="str">
        <f ca="1">PointBTempTables!F6</f>
        <v>LANCOM OAP-822</v>
      </c>
      <c r="T8" s="274" t="str">
        <f ca="1">PointBTempTables!AH6</f>
        <v>AirLancer Cable NJ-NP 9m</v>
      </c>
      <c r="U8" s="545" t="str">
        <f ca="1">PointBTempTables!BF6</f>
        <v>AirLancer ON-360ag</v>
      </c>
      <c r="V8" s="139" t="str">
        <f ca="1">PointBTempTables!AU6</f>
        <v/>
      </c>
      <c r="W8" s="278"/>
      <c r="X8" s="129" t="str">
        <f ca="1">PointBTempTables!BL6</f>
        <v>AirLancer Cable NJ-NP 9m</v>
      </c>
      <c r="Y8" s="258" t="str">
        <f ca="1">PointBTempTables!Q6</f>
        <v/>
      </c>
      <c r="Z8" s="16">
        <v>3</v>
      </c>
    </row>
    <row r="9" spans="2:26" x14ac:dyDescent="0.2">
      <c r="B9" s="24"/>
      <c r="C9" s="162"/>
      <c r="D9" s="144"/>
      <c r="E9" s="162"/>
      <c r="F9" s="14">
        <v>4</v>
      </c>
      <c r="G9" s="128" t="str">
        <f ca="1">PointATempTables!Q7</f>
        <v/>
      </c>
      <c r="H9" s="256" t="str">
        <f ca="1">ProductTable!E10</f>
        <v>LANCOM OAP-821</v>
      </c>
      <c r="I9" s="138" t="str">
        <f ca="1">PointATempTables!AH7</f>
        <v/>
      </c>
      <c r="J9" s="128" t="str">
        <f ca="1">PointATempTables!BF7</f>
        <v>AirLancer ON-T60ag</v>
      </c>
      <c r="K9" s="139" t="str">
        <f ca="1">PointATempTables!AU7</f>
        <v/>
      </c>
      <c r="L9" s="15"/>
      <c r="M9" s="128" t="str">
        <f ca="1">PointATempTables!BL7</f>
        <v>No cable</v>
      </c>
      <c r="N9" s="258" t="str">
        <f ca="1">PointATempTables!F7</f>
        <v/>
      </c>
      <c r="O9" s="16">
        <v>4</v>
      </c>
      <c r="Q9" s="14">
        <v>4</v>
      </c>
      <c r="R9" s="271"/>
      <c r="S9" s="274" t="str">
        <f ca="1">PointBTempTables!F7</f>
        <v>LANCOM OAP-821</v>
      </c>
      <c r="T9" s="274" t="str">
        <f ca="1">PointBTempTables!AH7</f>
        <v/>
      </c>
      <c r="U9" s="545" t="str">
        <f ca="1">PointBTempTables!BF7</f>
        <v>AirLancer ON-T60ag</v>
      </c>
      <c r="V9" s="139" t="str">
        <f ca="1">PointBTempTables!AU7</f>
        <v/>
      </c>
      <c r="W9" s="278"/>
      <c r="X9" s="129" t="str">
        <f ca="1">PointBTempTables!BL7</f>
        <v>No cable</v>
      </c>
      <c r="Y9" s="258" t="str">
        <f ca="1">PointBTempTables!Q7</f>
        <v/>
      </c>
      <c r="Z9" s="16">
        <v>4</v>
      </c>
    </row>
    <row r="10" spans="2:26" x14ac:dyDescent="0.2">
      <c r="B10" s="24"/>
      <c r="C10" s="162"/>
      <c r="D10" s="144"/>
      <c r="E10" s="162"/>
      <c r="F10" s="14">
        <v>5</v>
      </c>
      <c r="G10" s="128" t="str">
        <f ca="1">PointATempTables!Q8</f>
        <v/>
      </c>
      <c r="H10" s="256" t="str">
        <f ca="1">ProductTable!E11</f>
        <v>LANCOM OAP-830</v>
      </c>
      <c r="I10" s="138" t="str">
        <f ca="1">PointATempTables!AH8</f>
        <v/>
      </c>
      <c r="J10" s="128" t="str">
        <f ca="1">PointATempTables!BF8</f>
        <v>AirLancer ON-T90ag</v>
      </c>
      <c r="K10" s="139" t="str">
        <f ca="1">PointATempTables!AU8</f>
        <v/>
      </c>
      <c r="L10" s="15"/>
      <c r="M10" s="128" t="str">
        <f ca="1">PointATempTables!BL8</f>
        <v>Other cable</v>
      </c>
      <c r="N10" s="258" t="str">
        <f ca="1">PointATempTables!F8</f>
        <v/>
      </c>
      <c r="O10" s="16">
        <v>5</v>
      </c>
      <c r="Q10" s="14">
        <v>5</v>
      </c>
      <c r="R10" s="271"/>
      <c r="S10" s="274" t="str">
        <f ca="1">PointBTempTables!F8</f>
        <v>LANCOM OAP-830</v>
      </c>
      <c r="T10" s="274" t="str">
        <f ca="1">PointBTempTables!AH8</f>
        <v/>
      </c>
      <c r="U10" s="545" t="str">
        <f ca="1">PointBTempTables!BF8</f>
        <v>AirLancer ON-T90ag</v>
      </c>
      <c r="V10" s="139" t="str">
        <f ca="1">PointBTempTables!AU8</f>
        <v/>
      </c>
      <c r="W10" s="278"/>
      <c r="X10" s="129" t="str">
        <f ca="1">PointBTempTables!BL8</f>
        <v>Other cable</v>
      </c>
      <c r="Y10" s="258" t="str">
        <f ca="1">PointBTempTables!Q8</f>
        <v/>
      </c>
      <c r="Z10" s="16">
        <v>5</v>
      </c>
    </row>
    <row r="11" spans="2:26" x14ac:dyDescent="0.2">
      <c r="B11" s="24"/>
      <c r="C11" s="162"/>
      <c r="D11" s="144"/>
      <c r="E11" s="162"/>
      <c r="F11" s="14">
        <v>6</v>
      </c>
      <c r="G11" s="128" t="str">
        <f ca="1">PointATempTables!Q9</f>
        <v/>
      </c>
      <c r="H11" s="256" t="str">
        <f ca="1">ProductTable!E12</f>
        <v>LANCOM LN-1702B</v>
      </c>
      <c r="I11" s="138" t="str">
        <f ca="1">PointATempTables!AH9</f>
        <v/>
      </c>
      <c r="J11" s="128" t="str">
        <f ca="1">PointATempTables!BF9</f>
        <v>AirLancer ON-T360ag</v>
      </c>
      <c r="K11" s="139" t="str">
        <f ca="1">PointATempTables!AU9</f>
        <v/>
      </c>
      <c r="L11" s="15"/>
      <c r="M11" s="128" t="str">
        <f ca="1">PointATempTables!BL9</f>
        <v/>
      </c>
      <c r="N11" s="258" t="str">
        <f ca="1">PointATempTables!F9</f>
        <v/>
      </c>
      <c r="O11" s="16">
        <v>6</v>
      </c>
      <c r="Q11" s="14">
        <v>6</v>
      </c>
      <c r="R11" s="271"/>
      <c r="S11" s="274" t="str">
        <f ca="1">PointBTempTables!F9</f>
        <v>LANCOM LN-1702B</v>
      </c>
      <c r="T11" s="274" t="str">
        <f ca="1">PointBTempTables!AH9</f>
        <v/>
      </c>
      <c r="U11" s="545" t="str">
        <f ca="1">PointBTempTables!BF9</f>
        <v>AirLancer ON-T360ag</v>
      </c>
      <c r="V11" s="139" t="str">
        <f ca="1">PointBTempTables!AU9</f>
        <v/>
      </c>
      <c r="W11" s="278"/>
      <c r="X11" s="129" t="str">
        <f ca="1">PointBTempTables!BL9</f>
        <v/>
      </c>
      <c r="Y11" s="258" t="str">
        <f ca="1">PointBTempTables!Q9</f>
        <v/>
      </c>
      <c r="Z11" s="16">
        <v>6</v>
      </c>
    </row>
    <row r="12" spans="2:26" x14ac:dyDescent="0.2">
      <c r="B12" s="24"/>
      <c r="C12" s="162"/>
      <c r="D12" s="144"/>
      <c r="E12" s="162"/>
      <c r="F12" s="14">
        <v>7</v>
      </c>
      <c r="G12" s="128" t="str">
        <f ca="1">PointATempTables!Q10</f>
        <v/>
      </c>
      <c r="H12" s="256" t="str">
        <f ca="1">ProductTable!E13</f>
        <v>LANCOM L-822acn</v>
      </c>
      <c r="I12" s="138" t="str">
        <f ca="1">PointATempTables!AH10</f>
        <v/>
      </c>
      <c r="J12" s="128" t="str">
        <f ca="1">PointATempTables!BF10</f>
        <v>AirLancer ON-Q360ag</v>
      </c>
      <c r="K12" s="139" t="str">
        <f ca="1">PointATempTables!AU10</f>
        <v/>
      </c>
      <c r="L12" s="15"/>
      <c r="M12" s="128" t="str">
        <f ca="1">PointATempTables!BL10</f>
        <v/>
      </c>
      <c r="N12" s="258" t="str">
        <f ca="1">PointATempTables!F10</f>
        <v/>
      </c>
      <c r="O12" s="16">
        <v>7</v>
      </c>
      <c r="Q12" s="14">
        <v>7</v>
      </c>
      <c r="R12" s="271"/>
      <c r="S12" s="274" t="str">
        <f ca="1">PointBTempTables!F10</f>
        <v>LANCOM L-822acn</v>
      </c>
      <c r="T12" s="274" t="str">
        <f ca="1">PointBTempTables!AH10</f>
        <v/>
      </c>
      <c r="U12" s="545" t="str">
        <f ca="1">PointBTempTables!BF10</f>
        <v>AirLancer ON-Q360ag</v>
      </c>
      <c r="V12" s="139" t="str">
        <f ca="1">PointBTempTables!AU10</f>
        <v/>
      </c>
      <c r="W12" s="278"/>
      <c r="X12" s="129" t="str">
        <f ca="1">PointBTempTables!BL10</f>
        <v/>
      </c>
      <c r="Y12" s="258" t="str">
        <f ca="1">PointBTempTables!Q10</f>
        <v/>
      </c>
      <c r="Z12" s="16">
        <v>7</v>
      </c>
    </row>
    <row r="13" spans="2:26" x14ac:dyDescent="0.2">
      <c r="B13" s="24"/>
      <c r="D13" s="144"/>
      <c r="F13" s="14">
        <v>8</v>
      </c>
      <c r="G13" s="128" t="str">
        <f ca="1">PointATempTables!Q11</f>
        <v/>
      </c>
      <c r="H13" s="256" t="str">
        <f ca="1">ProductTable!E14</f>
        <v>LANCOM LN-862</v>
      </c>
      <c r="I13" s="138" t="str">
        <f ca="1">PointATempTables!AH11</f>
        <v/>
      </c>
      <c r="J13" s="128" t="str">
        <f ca="1">PointATempTables!BF11</f>
        <v>AirLancer ON-Q90ag</v>
      </c>
      <c r="K13" s="139" t="str">
        <f ca="1">PointATempTables!AU11</f>
        <v/>
      </c>
      <c r="L13" s="15"/>
      <c r="M13" s="128" t="str">
        <f ca="1">PointATempTables!BL11</f>
        <v/>
      </c>
      <c r="N13" s="258" t="str">
        <f ca="1">PointATempTables!F11</f>
        <v/>
      </c>
      <c r="O13" s="16">
        <v>8</v>
      </c>
      <c r="Q13" s="14">
        <v>8</v>
      </c>
      <c r="R13" s="271"/>
      <c r="S13" s="274" t="str">
        <f ca="1">PointBTempTables!F11</f>
        <v>LANCOM LN-862</v>
      </c>
      <c r="T13" s="274" t="str">
        <f ca="1">PointBTempTables!AH11</f>
        <v/>
      </c>
      <c r="U13" s="545" t="str">
        <f ca="1">PointBTempTables!BF11</f>
        <v>AirLancer ON-Q90ag</v>
      </c>
      <c r="V13" s="139" t="str">
        <f ca="1">PointBTempTables!AU11</f>
        <v/>
      </c>
      <c r="W13" s="278"/>
      <c r="X13" s="129" t="str">
        <f ca="1">PointBTempTables!BL11</f>
        <v/>
      </c>
      <c r="Y13" s="258" t="str">
        <f ca="1">PointBTempTables!Q11</f>
        <v/>
      </c>
      <c r="Z13" s="16">
        <v>8</v>
      </c>
    </row>
    <row r="14" spans="2:26" x14ac:dyDescent="0.2">
      <c r="B14" s="24"/>
      <c r="D14" s="144"/>
      <c r="F14" s="14">
        <v>9</v>
      </c>
      <c r="G14" s="128" t="str">
        <f ca="1">PointATempTables!Q12</f>
        <v/>
      </c>
      <c r="H14" s="256" t="str">
        <f ca="1">ProductTable!E15</f>
        <v>LANCOM L-322agn</v>
      </c>
      <c r="I14" s="138" t="str">
        <f ca="1">PointATempTables!AH12</f>
        <v/>
      </c>
      <c r="J14" s="128" t="str">
        <f ca="1">PointATempTables!BF12</f>
        <v>AirLancer ON-Q60ag</v>
      </c>
      <c r="K14" s="139" t="str">
        <f ca="1">PointATempTables!AU12</f>
        <v/>
      </c>
      <c r="L14" s="15"/>
      <c r="M14" s="128" t="str">
        <f ca="1">PointATempTables!BL12</f>
        <v/>
      </c>
      <c r="N14" s="258" t="str">
        <f ca="1">PointATempTables!F12</f>
        <v/>
      </c>
      <c r="O14" s="16">
        <v>9</v>
      </c>
      <c r="Q14" s="14">
        <v>9</v>
      </c>
      <c r="R14" s="271"/>
      <c r="S14" s="274" t="str">
        <f ca="1">PointBTempTables!F12</f>
        <v>LANCOM IAP-822</v>
      </c>
      <c r="T14" s="274" t="str">
        <f ca="1">PointBTempTables!AH12</f>
        <v/>
      </c>
      <c r="U14" s="545" t="str">
        <f ca="1">PointBTempTables!BF12</f>
        <v>AirLancer ON-Q60ag</v>
      </c>
      <c r="V14" s="139" t="str">
        <f ca="1">PointBTempTables!AU12</f>
        <v/>
      </c>
      <c r="W14" s="278"/>
      <c r="X14" s="129" t="str">
        <f ca="1">PointBTempTables!BL12</f>
        <v/>
      </c>
      <c r="Y14" s="258" t="str">
        <f ca="1">PointBTempTables!Q12</f>
        <v/>
      </c>
      <c r="Z14" s="16">
        <v>9</v>
      </c>
    </row>
    <row r="15" spans="2:26" x14ac:dyDescent="0.2">
      <c r="B15" s="24"/>
      <c r="D15" s="145"/>
      <c r="F15" s="14">
        <v>10</v>
      </c>
      <c r="G15" s="128" t="str">
        <f ca="1">PointATempTables!Q13</f>
        <v/>
      </c>
      <c r="H15" s="256" t="str">
        <f ca="1">ProductTable!E16</f>
        <v>LANCOM L-321agn</v>
      </c>
      <c r="I15" s="138" t="str">
        <f ca="1">PointATempTables!AH13</f>
        <v/>
      </c>
      <c r="J15" s="128" t="str">
        <f ca="1">PointATempTables!BF13</f>
        <v>AirLancer ON-QT60</v>
      </c>
      <c r="K15" s="257" t="str">
        <f ca="1">PointATempTables!AU13</f>
        <v/>
      </c>
      <c r="L15" s="15"/>
      <c r="M15" s="128" t="str">
        <f ca="1">PointATempTables!BL13</f>
        <v/>
      </c>
      <c r="N15" s="258" t="str">
        <f ca="1">PointATempTables!F13</f>
        <v/>
      </c>
      <c r="O15" s="16">
        <v>10</v>
      </c>
      <c r="Q15" s="14">
        <v>10</v>
      </c>
      <c r="R15" s="271"/>
      <c r="S15" s="274" t="str">
        <f ca="1">PointBTempTables!F13</f>
        <v>LANCOM IAP-821</v>
      </c>
      <c r="T15" s="274" t="str">
        <f ca="1">PointBTempTables!AH13</f>
        <v/>
      </c>
      <c r="U15" s="545" t="str">
        <f ca="1">PointBTempTables!BF13</f>
        <v>AirLancer ON-QT60</v>
      </c>
      <c r="V15" s="257" t="str">
        <f ca="1">PointBTempTables!AU13</f>
        <v/>
      </c>
      <c r="W15" s="278"/>
      <c r="X15" s="129" t="str">
        <f ca="1">PointBTempTables!BL13</f>
        <v/>
      </c>
      <c r="Y15" s="258" t="str">
        <f ca="1">PointBTempTables!Q13</f>
        <v/>
      </c>
      <c r="Z15" s="16">
        <v>10</v>
      </c>
    </row>
    <row r="16" spans="2:26" x14ac:dyDescent="0.2">
      <c r="B16" s="24"/>
      <c r="D16" s="73">
        <v>2</v>
      </c>
      <c r="F16" s="14">
        <v>11</v>
      </c>
      <c r="G16" s="128" t="str">
        <f ca="1">PointATempTables!Q14</f>
        <v/>
      </c>
      <c r="H16" s="256" t="str">
        <f ca="1">ProductTable!E17</f>
        <v>LANCOM IAP-822</v>
      </c>
      <c r="I16" s="138" t="str">
        <f ca="1">PointATempTables!AH14</f>
        <v/>
      </c>
      <c r="J16" s="128" t="str">
        <f ca="1">PointATempTables!BF14</f>
        <v>AirLancer ON-QT90</v>
      </c>
      <c r="K16" s="15"/>
      <c r="L16" s="15"/>
      <c r="M16" s="128" t="str">
        <f ca="1">PointATempTables!BL14</f>
        <v/>
      </c>
      <c r="N16" s="258" t="str">
        <f ca="1">PointATempTables!F14</f>
        <v/>
      </c>
      <c r="O16" s="16">
        <v>11</v>
      </c>
      <c r="Q16" s="14">
        <v>11</v>
      </c>
      <c r="R16" s="271"/>
      <c r="S16" s="274" t="str">
        <f ca="1">PointBTempTables!F14</f>
        <v/>
      </c>
      <c r="T16" s="274" t="str">
        <f ca="1">PointBTempTables!AH14</f>
        <v/>
      </c>
      <c r="U16" s="545" t="str">
        <f ca="1">PointBTempTables!BF14</f>
        <v>AirLancer ON-QT90</v>
      </c>
      <c r="V16" s="15"/>
      <c r="W16" s="278"/>
      <c r="X16" s="129" t="str">
        <f ca="1">PointBTempTables!BL14</f>
        <v/>
      </c>
      <c r="Y16" s="258" t="str">
        <f ca="1">PointBTempTables!Q14</f>
        <v/>
      </c>
      <c r="Z16" s="16">
        <v>11</v>
      </c>
    </row>
    <row r="17" spans="2:26" x14ac:dyDescent="0.2">
      <c r="B17" s="24"/>
      <c r="F17" s="14">
        <v>12</v>
      </c>
      <c r="G17" s="128" t="str">
        <f ca="1">PointATempTables!Q15</f>
        <v/>
      </c>
      <c r="H17" s="256" t="str">
        <f ca="1">ProductTable!E18</f>
        <v>LANCOM IAP-821</v>
      </c>
      <c r="I17" s="138" t="str">
        <f ca="1">PointATempTables!AH15</f>
        <v/>
      </c>
      <c r="J17" s="128" t="str">
        <f ca="1">PointATempTables!BF15</f>
        <v>Other antenna</v>
      </c>
      <c r="K17" s="15"/>
      <c r="L17" s="15"/>
      <c r="M17" s="128" t="str">
        <f ca="1">PointATempTables!BL15</f>
        <v/>
      </c>
      <c r="N17" s="258" t="str">
        <f ca="1">PointATempTables!F15</f>
        <v/>
      </c>
      <c r="O17" s="16">
        <v>12</v>
      </c>
      <c r="Q17" s="14">
        <v>12</v>
      </c>
      <c r="R17" s="271"/>
      <c r="S17" s="274" t="str">
        <f ca="1">PointBTempTables!F15</f>
        <v/>
      </c>
      <c r="T17" s="274" t="str">
        <f ca="1">PointBTempTables!AH15</f>
        <v/>
      </c>
      <c r="U17" s="545" t="str">
        <f ca="1">PointBTempTables!BF15</f>
        <v>Other antenna</v>
      </c>
      <c r="V17" s="15"/>
      <c r="W17" s="278"/>
      <c r="X17" s="129" t="str">
        <f ca="1">PointBTempTables!BL15</f>
        <v/>
      </c>
      <c r="Y17" s="258" t="str">
        <f ca="1">PointBTempTables!Q15</f>
        <v/>
      </c>
      <c r="Z17" s="16">
        <v>12</v>
      </c>
    </row>
    <row r="18" spans="2:26" ht="10.5" x14ac:dyDescent="0.25">
      <c r="B18" s="24"/>
      <c r="D18" s="417" t="s">
        <v>421</v>
      </c>
      <c r="F18" s="14">
        <v>13</v>
      </c>
      <c r="G18" s="128" t="str">
        <f ca="1">PointATempTables!Q16</f>
        <v/>
      </c>
      <c r="H18" s="256" t="str">
        <f ca="1">ProductTable!E19</f>
        <v/>
      </c>
      <c r="I18" s="138" t="str">
        <f ca="1">PointATempTables!AH16</f>
        <v/>
      </c>
      <c r="J18" s="128" t="str">
        <f ca="1">PointATempTables!BF16</f>
        <v>Default antenna</v>
      </c>
      <c r="K18" s="15"/>
      <c r="L18" s="15"/>
      <c r="M18" s="128" t="str">
        <f ca="1">PointATempTables!BL16</f>
        <v/>
      </c>
      <c r="N18" s="258" t="str">
        <f ca="1">PointATempTables!F16</f>
        <v/>
      </c>
      <c r="O18" s="16">
        <v>13</v>
      </c>
      <c r="Q18" s="14">
        <v>13</v>
      </c>
      <c r="R18" s="271"/>
      <c r="S18" s="274" t="str">
        <f ca="1">PointBTempTables!F16</f>
        <v/>
      </c>
      <c r="T18" s="274" t="str">
        <f ca="1">PointBTempTables!AH16</f>
        <v/>
      </c>
      <c r="U18" s="545" t="str">
        <f ca="1">PointBTempTables!BF16</f>
        <v>Default antenna</v>
      </c>
      <c r="V18" s="15"/>
      <c r="W18" s="278"/>
      <c r="X18" s="129" t="str">
        <f ca="1">PointBTempTables!BL16</f>
        <v/>
      </c>
      <c r="Y18" s="258" t="str">
        <f ca="1">PointBTempTables!Q16</f>
        <v/>
      </c>
      <c r="Z18" s="16">
        <v>13</v>
      </c>
    </row>
    <row r="19" spans="2:26" x14ac:dyDescent="0.2">
      <c r="B19" s="24"/>
      <c r="D19" s="127" t="str">
        <f>TDcustomEIRP!D8</f>
        <v>dBm</v>
      </c>
      <c r="F19" s="14">
        <v>14</v>
      </c>
      <c r="G19" s="128" t="str">
        <f ca="1">PointATempTables!Q17</f>
        <v/>
      </c>
      <c r="H19" s="256" t="str">
        <f ca="1">ProductTable!E20</f>
        <v/>
      </c>
      <c r="I19" s="138" t="str">
        <f ca="1">PointATempTables!AH17</f>
        <v/>
      </c>
      <c r="J19" s="128" t="str">
        <f ca="1">PointATempTables!BF17</f>
        <v/>
      </c>
      <c r="K19" s="15"/>
      <c r="L19" s="15"/>
      <c r="M19" s="128" t="str">
        <f ca="1">PointATempTables!BL17</f>
        <v/>
      </c>
      <c r="N19" s="258" t="str">
        <f ca="1">PointATempTables!F17</f>
        <v/>
      </c>
      <c r="O19" s="16">
        <v>14</v>
      </c>
      <c r="Q19" s="14">
        <v>14</v>
      </c>
      <c r="R19" s="271"/>
      <c r="S19" s="274" t="str">
        <f ca="1">PointBTempTables!F17</f>
        <v/>
      </c>
      <c r="T19" s="274" t="str">
        <f ca="1">PointBTempTables!AH17</f>
        <v/>
      </c>
      <c r="U19" s="545" t="str">
        <f ca="1">PointBTempTables!BF17</f>
        <v/>
      </c>
      <c r="V19" s="15"/>
      <c r="W19" s="278"/>
      <c r="X19" s="129" t="str">
        <f ca="1">PointBTempTables!BL17</f>
        <v/>
      </c>
      <c r="Y19" s="258" t="str">
        <f ca="1">PointBTempTables!Q17</f>
        <v/>
      </c>
      <c r="Z19" s="16">
        <v>14</v>
      </c>
    </row>
    <row r="20" spans="2:26" x14ac:dyDescent="0.2">
      <c r="B20" s="24"/>
      <c r="D20" s="129" t="str">
        <f>TDcustomEIRP!E8</f>
        <v>mW</v>
      </c>
      <c r="F20" s="14">
        <v>15</v>
      </c>
      <c r="G20" s="128" t="str">
        <f ca="1">PointATempTables!Q18</f>
        <v/>
      </c>
      <c r="H20" s="256" t="str">
        <f ca="1">ProductTable!E21</f>
        <v/>
      </c>
      <c r="I20" s="138" t="str">
        <f ca="1">PointATempTables!AH18</f>
        <v/>
      </c>
      <c r="J20" s="128" t="str">
        <f ca="1">PointATempTables!BF18</f>
        <v/>
      </c>
      <c r="K20" s="15"/>
      <c r="L20" s="15"/>
      <c r="M20" s="128" t="str">
        <f ca="1">PointATempTables!BL18</f>
        <v/>
      </c>
      <c r="N20" s="258" t="str">
        <f ca="1">PointATempTables!F18</f>
        <v/>
      </c>
      <c r="O20" s="16">
        <v>15</v>
      </c>
      <c r="Q20" s="14">
        <v>15</v>
      </c>
      <c r="R20" s="271"/>
      <c r="S20" s="274" t="str">
        <f ca="1">PointBTempTables!F18</f>
        <v/>
      </c>
      <c r="T20" s="274" t="str">
        <f ca="1">PointBTempTables!AH18</f>
        <v/>
      </c>
      <c r="U20" s="545" t="str">
        <f ca="1">PointBTempTables!BF18</f>
        <v/>
      </c>
      <c r="V20" s="15"/>
      <c r="W20" s="278"/>
      <c r="X20" s="129" t="str">
        <f ca="1">PointBTempTables!BL18</f>
        <v/>
      </c>
      <c r="Y20" s="258" t="str">
        <f ca="1">PointBTempTables!Q18</f>
        <v/>
      </c>
      <c r="Z20" s="16">
        <v>15</v>
      </c>
    </row>
    <row r="21" spans="2:26" x14ac:dyDescent="0.2">
      <c r="B21" s="24"/>
      <c r="D21" s="415"/>
      <c r="F21" s="14">
        <v>16</v>
      </c>
      <c r="G21" s="128" t="str">
        <f ca="1">PointATempTables!Q19</f>
        <v/>
      </c>
      <c r="H21" s="256" t="str">
        <f ca="1">ProductTable!E22</f>
        <v/>
      </c>
      <c r="I21" s="138" t="str">
        <f ca="1">PointATempTables!AH19</f>
        <v/>
      </c>
      <c r="J21" s="128" t="str">
        <f ca="1">PointATempTables!BF19</f>
        <v/>
      </c>
      <c r="K21" s="15"/>
      <c r="L21" s="15"/>
      <c r="M21" s="128" t="str">
        <f ca="1">PointATempTables!BL19</f>
        <v/>
      </c>
      <c r="N21" s="258" t="str">
        <f ca="1">PointATempTables!F19</f>
        <v/>
      </c>
      <c r="O21" s="16">
        <v>16</v>
      </c>
      <c r="Q21" s="14">
        <v>16</v>
      </c>
      <c r="R21" s="271"/>
      <c r="S21" s="274" t="str">
        <f ca="1">PointBTempTables!F19</f>
        <v/>
      </c>
      <c r="T21" s="274" t="str">
        <f ca="1">PointBTempTables!AH19</f>
        <v/>
      </c>
      <c r="U21" s="545" t="str">
        <f ca="1">PointBTempTables!BF19</f>
        <v/>
      </c>
      <c r="V21" s="15"/>
      <c r="W21" s="278"/>
      <c r="X21" s="129" t="str">
        <f ca="1">PointBTempTables!BL19</f>
        <v/>
      </c>
      <c r="Y21" s="258" t="str">
        <f ca="1">PointBTempTables!Q19</f>
        <v/>
      </c>
      <c r="Z21" s="16">
        <v>16</v>
      </c>
    </row>
    <row r="22" spans="2:26" x14ac:dyDescent="0.2">
      <c r="B22" s="24"/>
      <c r="D22" s="415"/>
      <c r="F22" s="14">
        <v>17</v>
      </c>
      <c r="G22" s="128" t="str">
        <f ca="1">PointATempTables!Q20</f>
        <v/>
      </c>
      <c r="H22" s="256" t="str">
        <f ca="1">ProductTable!E23</f>
        <v/>
      </c>
      <c r="I22" s="138" t="str">
        <f ca="1">PointATempTables!AH20</f>
        <v/>
      </c>
      <c r="J22" s="128" t="str">
        <f ca="1">PointATempTables!BF20</f>
        <v/>
      </c>
      <c r="K22" s="15"/>
      <c r="L22" s="15"/>
      <c r="M22" s="128" t="str">
        <f ca="1">PointATempTables!BL20</f>
        <v/>
      </c>
      <c r="N22" s="258" t="str">
        <f ca="1">PointATempTables!F20</f>
        <v/>
      </c>
      <c r="O22" s="16">
        <v>17</v>
      </c>
      <c r="Q22" s="14">
        <v>17</v>
      </c>
      <c r="R22" s="271"/>
      <c r="S22" s="274" t="str">
        <f ca="1">PointBTempTables!F20</f>
        <v/>
      </c>
      <c r="T22" s="274" t="str">
        <f ca="1">PointBTempTables!AH20</f>
        <v/>
      </c>
      <c r="U22" s="545" t="str">
        <f ca="1">PointBTempTables!BF20</f>
        <v/>
      </c>
      <c r="V22" s="15"/>
      <c r="W22" s="278"/>
      <c r="X22" s="129" t="str">
        <f ca="1">PointBTempTables!BL20</f>
        <v/>
      </c>
      <c r="Y22" s="258" t="str">
        <f ca="1">PointBTempTables!Q20</f>
        <v/>
      </c>
      <c r="Z22" s="16">
        <v>17</v>
      </c>
    </row>
    <row r="23" spans="2:26" x14ac:dyDescent="0.2">
      <c r="B23" s="24"/>
      <c r="D23" s="416"/>
      <c r="F23" s="15">
        <v>18</v>
      </c>
      <c r="G23" s="128" t="str">
        <f ca="1">PointATempTables!Q21</f>
        <v/>
      </c>
      <c r="H23" s="256" t="str">
        <f ca="1">ProductTable!E24</f>
        <v/>
      </c>
      <c r="I23" s="138" t="str">
        <f ca="1">PointATempTables!AH21</f>
        <v/>
      </c>
      <c r="J23" s="128" t="str">
        <f ca="1">PointATempTables!BF21</f>
        <v/>
      </c>
      <c r="K23" s="15"/>
      <c r="L23" s="15"/>
      <c r="M23" s="128" t="str">
        <f ca="1">PointATempTables!BL21</f>
        <v/>
      </c>
      <c r="N23" s="258" t="str">
        <f ca="1">PointATempTables!F21</f>
        <v/>
      </c>
      <c r="O23" s="17">
        <v>18</v>
      </c>
      <c r="Q23" s="15">
        <v>18</v>
      </c>
      <c r="R23" s="271"/>
      <c r="S23" s="274" t="str">
        <f ca="1">PointBTempTables!F21</f>
        <v/>
      </c>
      <c r="T23" s="274" t="str">
        <f ca="1">PointBTempTables!AH21</f>
        <v/>
      </c>
      <c r="U23" s="545" t="str">
        <f ca="1">PointBTempTables!BF21</f>
        <v/>
      </c>
      <c r="V23" s="15"/>
      <c r="W23" s="278"/>
      <c r="X23" s="129" t="str">
        <f ca="1">PointBTempTables!BL21</f>
        <v/>
      </c>
      <c r="Y23" s="258" t="str">
        <f ca="1">PointBTempTables!Q21</f>
        <v/>
      </c>
      <c r="Z23" s="17">
        <v>18</v>
      </c>
    </row>
    <row r="24" spans="2:26" x14ac:dyDescent="0.2">
      <c r="B24" s="24"/>
      <c r="C24" s="181" t="s">
        <v>139</v>
      </c>
      <c r="D24" s="73">
        <v>2</v>
      </c>
      <c r="F24" s="15">
        <v>19</v>
      </c>
      <c r="G24" s="128" t="str">
        <f ca="1">PointATempTables!Q22</f>
        <v/>
      </c>
      <c r="H24" s="256" t="str">
        <f ca="1">ProductTable!E25</f>
        <v/>
      </c>
      <c r="I24" s="138" t="str">
        <f ca="1">PointATempTables!AH22</f>
        <v/>
      </c>
      <c r="J24" s="128" t="str">
        <f ca="1">PointATempTables!BF22</f>
        <v/>
      </c>
      <c r="K24" s="15"/>
      <c r="L24" s="15"/>
      <c r="M24" s="128" t="str">
        <f ca="1">PointATempTables!BL22</f>
        <v/>
      </c>
      <c r="N24" s="258" t="str">
        <f ca="1">PointATempTables!F22</f>
        <v/>
      </c>
      <c r="O24" s="17">
        <v>19</v>
      </c>
      <c r="Q24" s="15">
        <v>19</v>
      </c>
      <c r="R24" s="271"/>
      <c r="S24" s="274" t="str">
        <f ca="1">PointBTempTables!F22</f>
        <v/>
      </c>
      <c r="T24" s="274" t="str">
        <f ca="1">PointBTempTables!AH22</f>
        <v/>
      </c>
      <c r="U24" s="545" t="str">
        <f ca="1">PointBTempTables!BF22</f>
        <v/>
      </c>
      <c r="V24" s="15"/>
      <c r="W24" s="278"/>
      <c r="X24" s="129" t="str">
        <f ca="1">PointBTempTables!BL22</f>
        <v/>
      </c>
      <c r="Y24" s="258" t="str">
        <f ca="1">PointBTempTables!Q22</f>
        <v/>
      </c>
      <c r="Z24" s="17">
        <v>19</v>
      </c>
    </row>
    <row r="25" spans="2:26" x14ac:dyDescent="0.2">
      <c r="B25" s="24"/>
      <c r="C25" s="181" t="s">
        <v>420</v>
      </c>
      <c r="D25" s="73" t="str">
        <f>INDEX(D19:D23,D24)</f>
        <v>mW</v>
      </c>
      <c r="F25" s="15">
        <v>20</v>
      </c>
      <c r="G25" s="128" t="str">
        <f ca="1">PointATempTables!Q23</f>
        <v/>
      </c>
      <c r="H25" s="256" t="str">
        <f ca="1">ProductTable!E26</f>
        <v/>
      </c>
      <c r="I25" s="138" t="str">
        <f ca="1">PointATempTables!AH23</f>
        <v/>
      </c>
      <c r="J25" s="128" t="str">
        <f ca="1">PointATempTables!BF23</f>
        <v/>
      </c>
      <c r="K25" s="15"/>
      <c r="L25" s="15"/>
      <c r="M25" s="128" t="str">
        <f ca="1">PointATempTables!BL23</f>
        <v/>
      </c>
      <c r="N25" s="258" t="str">
        <f ca="1">PointATempTables!F23</f>
        <v/>
      </c>
      <c r="O25" s="17">
        <v>20</v>
      </c>
      <c r="Q25" s="15">
        <v>20</v>
      </c>
      <c r="R25" s="271"/>
      <c r="S25" s="274" t="str">
        <f ca="1">PointBTempTables!F23</f>
        <v/>
      </c>
      <c r="T25" s="274" t="str">
        <f ca="1">PointBTempTables!AH23</f>
        <v/>
      </c>
      <c r="U25" s="545" t="str">
        <f ca="1">PointBTempTables!BF23</f>
        <v/>
      </c>
      <c r="V25" s="15"/>
      <c r="W25" s="278"/>
      <c r="X25" s="129" t="str">
        <f ca="1">PointBTempTables!BL23</f>
        <v/>
      </c>
      <c r="Y25" s="258" t="str">
        <f ca="1">PointBTempTables!Q23</f>
        <v/>
      </c>
      <c r="Z25" s="17">
        <v>20</v>
      </c>
    </row>
    <row r="26" spans="2:26" x14ac:dyDescent="0.2">
      <c r="B26" s="24"/>
      <c r="F26" s="15">
        <v>21</v>
      </c>
      <c r="G26" s="128" t="str">
        <f ca="1">PointATempTables!Q24</f>
        <v/>
      </c>
      <c r="H26" s="256" t="str">
        <f ca="1">ProductTable!E27</f>
        <v/>
      </c>
      <c r="I26" s="138" t="str">
        <f ca="1">PointATempTables!AH24</f>
        <v/>
      </c>
      <c r="J26" s="128" t="str">
        <f ca="1">PointATempTables!BF24</f>
        <v/>
      </c>
      <c r="K26" s="15"/>
      <c r="L26" s="15"/>
      <c r="M26" s="128" t="str">
        <f ca="1">PointATempTables!BL24</f>
        <v/>
      </c>
      <c r="N26" s="258" t="str">
        <f ca="1">PointATempTables!F24</f>
        <v/>
      </c>
      <c r="O26" s="17">
        <v>21</v>
      </c>
      <c r="Q26" s="15">
        <v>21</v>
      </c>
      <c r="R26" s="271"/>
      <c r="S26" s="274" t="str">
        <f ca="1">PointBTempTables!F24</f>
        <v/>
      </c>
      <c r="T26" s="274" t="str">
        <f ca="1">PointBTempTables!AH24</f>
        <v/>
      </c>
      <c r="U26" s="545" t="str">
        <f ca="1">PointBTempTables!BF24</f>
        <v/>
      </c>
      <c r="V26" s="15"/>
      <c r="W26" s="278"/>
      <c r="X26" s="129" t="str">
        <f ca="1">PointBTempTables!BL24</f>
        <v/>
      </c>
      <c r="Y26" s="258" t="str">
        <f ca="1">PointBTempTables!Q24</f>
        <v/>
      </c>
      <c r="Z26" s="17">
        <v>21</v>
      </c>
    </row>
    <row r="27" spans="2:26" ht="10.5" x14ac:dyDescent="0.25">
      <c r="B27" s="24"/>
      <c r="D27" s="417" t="s">
        <v>422</v>
      </c>
      <c r="F27" s="15">
        <v>22</v>
      </c>
      <c r="G27" s="128" t="str">
        <f ca="1">PointATempTables!Q25</f>
        <v/>
      </c>
      <c r="H27" s="256" t="str">
        <f ca="1">ProductTable!E28</f>
        <v/>
      </c>
      <c r="I27" s="138" t="str">
        <f ca="1">PointATempTables!AH25</f>
        <v/>
      </c>
      <c r="J27" s="128" t="str">
        <f ca="1">PointATempTables!BF25</f>
        <v/>
      </c>
      <c r="K27" s="15"/>
      <c r="L27" s="15"/>
      <c r="M27" s="128" t="str">
        <f ca="1">PointATempTables!BL25</f>
        <v/>
      </c>
      <c r="N27" s="258" t="str">
        <f ca="1">PointATempTables!F25</f>
        <v/>
      </c>
      <c r="O27" s="17">
        <v>22</v>
      </c>
      <c r="Q27" s="15">
        <v>22</v>
      </c>
      <c r="R27" s="271"/>
      <c r="S27" s="274" t="str">
        <f ca="1">PointBTempTables!F25</f>
        <v/>
      </c>
      <c r="T27" s="274" t="str">
        <f ca="1">PointBTempTables!AH25</f>
        <v/>
      </c>
      <c r="U27" s="545" t="str">
        <f ca="1">PointBTempTables!BF25</f>
        <v/>
      </c>
      <c r="V27" s="15"/>
      <c r="W27" s="278"/>
      <c r="X27" s="129" t="str">
        <f ca="1">PointBTempTables!BL25</f>
        <v/>
      </c>
      <c r="Y27" s="258" t="str">
        <f ca="1">PointBTempTables!Q25</f>
        <v/>
      </c>
      <c r="Z27" s="17">
        <v>22</v>
      </c>
    </row>
    <row r="28" spans="2:26" x14ac:dyDescent="0.2">
      <c r="B28" s="24"/>
      <c r="D28" s="127">
        <f ca="1">INDEX(INDIRECT(TDcustomEIRP!$D$4),1,SelectionTables!$D$24)</f>
        <v>4000</v>
      </c>
      <c r="F28" s="15">
        <v>23</v>
      </c>
      <c r="G28" s="128" t="str">
        <f ca="1">PointATempTables!Q26</f>
        <v/>
      </c>
      <c r="H28" s="256" t="str">
        <f ca="1">ProductTable!E29</f>
        <v/>
      </c>
      <c r="I28" s="138" t="str">
        <f ca="1">PointATempTables!AH26</f>
        <v/>
      </c>
      <c r="J28" s="128" t="str">
        <f ca="1">PointATempTables!BF26</f>
        <v/>
      </c>
      <c r="K28" s="15"/>
      <c r="L28" s="15"/>
      <c r="M28" s="128" t="str">
        <f ca="1">PointATempTables!BL26</f>
        <v/>
      </c>
      <c r="N28" s="258" t="str">
        <f ca="1">PointATempTables!F26</f>
        <v/>
      </c>
      <c r="O28" s="17">
        <v>23</v>
      </c>
      <c r="Q28" s="15">
        <v>23</v>
      </c>
      <c r="R28" s="271"/>
      <c r="S28" s="274" t="str">
        <f ca="1">PointBTempTables!F26</f>
        <v/>
      </c>
      <c r="T28" s="274" t="str">
        <f ca="1">PointBTempTables!AH26</f>
        <v/>
      </c>
      <c r="U28" s="545" t="str">
        <f ca="1">PointBTempTables!BF26</f>
        <v/>
      </c>
      <c r="V28" s="15"/>
      <c r="W28" s="278"/>
      <c r="X28" s="129" t="str">
        <f ca="1">PointBTempTables!BL26</f>
        <v/>
      </c>
      <c r="Y28" s="258" t="str">
        <f ca="1">PointBTempTables!Q26</f>
        <v/>
      </c>
      <c r="Z28" s="17">
        <v>23</v>
      </c>
    </row>
    <row r="29" spans="2:26" x14ac:dyDescent="0.2">
      <c r="B29" s="24"/>
      <c r="D29" s="129">
        <f ca="1">INDEX(INDIRECT(TDcustomEIRP!$D$4),2,SelectionTables!$D$24)</f>
        <v>2000</v>
      </c>
      <c r="F29" s="15">
        <v>24</v>
      </c>
      <c r="G29" s="128" t="str">
        <f ca="1">PointATempTables!Q27</f>
        <v/>
      </c>
      <c r="H29" s="256" t="str">
        <f ca="1">ProductTable!E30</f>
        <v/>
      </c>
      <c r="I29" s="138" t="str">
        <f ca="1">PointATempTables!AH27</f>
        <v/>
      </c>
      <c r="J29" s="128" t="str">
        <f ca="1">PointATempTables!BF27</f>
        <v/>
      </c>
      <c r="K29" s="15"/>
      <c r="L29" s="15"/>
      <c r="M29" s="128" t="str">
        <f ca="1">PointATempTables!BL27</f>
        <v/>
      </c>
      <c r="N29" s="258" t="str">
        <f ca="1">PointATempTables!F27</f>
        <v/>
      </c>
      <c r="O29" s="17">
        <v>24</v>
      </c>
      <c r="Q29" s="15">
        <v>24</v>
      </c>
      <c r="R29" s="271"/>
      <c r="S29" s="274" t="str">
        <f ca="1">PointBTempTables!F27</f>
        <v/>
      </c>
      <c r="T29" s="274" t="str">
        <f ca="1">PointBTempTables!AH27</f>
        <v/>
      </c>
      <c r="U29" s="545" t="str">
        <f ca="1">PointBTempTables!BF27</f>
        <v/>
      </c>
      <c r="V29" s="15"/>
      <c r="W29" s="278"/>
      <c r="X29" s="129" t="str">
        <f ca="1">PointBTempTables!BL27</f>
        <v/>
      </c>
      <c r="Y29" s="258" t="str">
        <f ca="1">PointBTempTables!Q27</f>
        <v/>
      </c>
      <c r="Z29" s="17">
        <v>24</v>
      </c>
    </row>
    <row r="30" spans="2:26" x14ac:dyDescent="0.2">
      <c r="B30" s="24"/>
      <c r="D30" s="129">
        <f ca="1">INDEX(INDIRECT(TDcustomEIRP!$D$4),3,SelectionTables!$D$24)</f>
        <v>1000</v>
      </c>
      <c r="F30" s="15">
        <v>25</v>
      </c>
      <c r="G30" s="128" t="str">
        <f ca="1">PointATempTables!Q28</f>
        <v/>
      </c>
      <c r="H30" s="256" t="str">
        <f ca="1">ProductTable!E31</f>
        <v/>
      </c>
      <c r="I30" s="138" t="str">
        <f ca="1">PointATempTables!AH28</f>
        <v/>
      </c>
      <c r="J30" s="128" t="str">
        <f ca="1">PointATempTables!BF28</f>
        <v/>
      </c>
      <c r="K30" s="15"/>
      <c r="L30" s="15"/>
      <c r="M30" s="128" t="str">
        <f ca="1">PointATempTables!BL28</f>
        <v/>
      </c>
      <c r="N30" s="258" t="str">
        <f ca="1">PointATempTables!F28</f>
        <v/>
      </c>
      <c r="O30" s="17">
        <v>25</v>
      </c>
      <c r="Q30" s="15">
        <v>25</v>
      </c>
      <c r="R30" s="271"/>
      <c r="S30" s="274" t="str">
        <f ca="1">PointBTempTables!F28</f>
        <v/>
      </c>
      <c r="T30" s="274" t="str">
        <f ca="1">PointBTempTables!AH28</f>
        <v/>
      </c>
      <c r="U30" s="545" t="str">
        <f ca="1">PointBTempTables!BF28</f>
        <v/>
      </c>
      <c r="V30" s="15"/>
      <c r="W30" s="278"/>
      <c r="X30" s="129" t="str">
        <f ca="1">PointBTempTables!BL28</f>
        <v/>
      </c>
      <c r="Y30" s="258" t="str">
        <f ca="1">PointBTempTables!Q28</f>
        <v/>
      </c>
      <c r="Z30" s="17">
        <v>25</v>
      </c>
    </row>
    <row r="31" spans="2:26" x14ac:dyDescent="0.2">
      <c r="B31" s="24"/>
      <c r="D31" s="129">
        <f ca="1">INDEX(INDIRECT(TDcustomEIRP!$D$4),4,SelectionTables!$D$24)</f>
        <v>500</v>
      </c>
      <c r="F31" s="15">
        <v>26</v>
      </c>
      <c r="G31" s="128" t="str">
        <f ca="1">PointATempTables!Q29</f>
        <v/>
      </c>
      <c r="H31" s="256" t="str">
        <f ca="1">ProductTable!E32</f>
        <v/>
      </c>
      <c r="I31" s="138" t="str">
        <f ca="1">PointATempTables!AH29</f>
        <v/>
      </c>
      <c r="J31" s="128" t="str">
        <f ca="1">PointATempTables!BF29</f>
        <v/>
      </c>
      <c r="K31" s="15"/>
      <c r="L31" s="15"/>
      <c r="M31" s="128" t="str">
        <f ca="1">PointATempTables!BL29</f>
        <v/>
      </c>
      <c r="N31" s="258" t="str">
        <f ca="1">PointATempTables!F29</f>
        <v/>
      </c>
      <c r="O31" s="17">
        <v>26</v>
      </c>
      <c r="Q31" s="15">
        <v>26</v>
      </c>
      <c r="R31" s="271"/>
      <c r="S31" s="274" t="str">
        <f ca="1">PointBTempTables!F29</f>
        <v/>
      </c>
      <c r="T31" s="274" t="str">
        <f ca="1">PointBTempTables!AH29</f>
        <v/>
      </c>
      <c r="U31" s="545" t="str">
        <f ca="1">PointBTempTables!BF29</f>
        <v/>
      </c>
      <c r="V31" s="15"/>
      <c r="W31" s="278"/>
      <c r="X31" s="129" t="str">
        <f ca="1">PointBTempTables!BL29</f>
        <v/>
      </c>
      <c r="Y31" s="258" t="str">
        <f ca="1">PointBTempTables!Q29</f>
        <v/>
      </c>
      <c r="Z31" s="17">
        <v>26</v>
      </c>
    </row>
    <row r="32" spans="2:26" x14ac:dyDescent="0.2">
      <c r="B32" s="24"/>
      <c r="D32" s="129">
        <f ca="1">INDEX(INDIRECT(TDcustomEIRP!$D$4),5,SelectionTables!$D$24)</f>
        <v>200</v>
      </c>
      <c r="F32" s="15">
        <v>27</v>
      </c>
      <c r="G32" s="128" t="str">
        <f ca="1">PointATempTables!Q30</f>
        <v/>
      </c>
      <c r="H32" s="256" t="str">
        <f ca="1">ProductTable!E33</f>
        <v/>
      </c>
      <c r="I32" s="138" t="str">
        <f ca="1">PointATempTables!AH30</f>
        <v/>
      </c>
      <c r="J32" s="128" t="str">
        <f ca="1">PointATempTables!BF30</f>
        <v/>
      </c>
      <c r="K32" s="15"/>
      <c r="L32" s="15"/>
      <c r="M32" s="128" t="str">
        <f ca="1">PointATempTables!BL30</f>
        <v/>
      </c>
      <c r="N32" s="258" t="str">
        <f ca="1">PointATempTables!F30</f>
        <v/>
      </c>
      <c r="O32" s="17">
        <v>27</v>
      </c>
      <c r="Q32" s="15">
        <v>27</v>
      </c>
      <c r="R32" s="271"/>
      <c r="S32" s="274" t="str">
        <f ca="1">PointBTempTables!F30</f>
        <v/>
      </c>
      <c r="T32" s="274" t="str">
        <f ca="1">PointBTempTables!AH30</f>
        <v/>
      </c>
      <c r="U32" s="545" t="str">
        <f ca="1">PointBTempTables!BF30</f>
        <v/>
      </c>
      <c r="V32" s="15"/>
      <c r="W32" s="278"/>
      <c r="X32" s="129" t="str">
        <f ca="1">PointBTempTables!BL30</f>
        <v/>
      </c>
      <c r="Y32" s="258" t="str">
        <f ca="1">PointBTempTables!Q30</f>
        <v/>
      </c>
      <c r="Z32" s="17">
        <v>27</v>
      </c>
    </row>
    <row r="33" spans="2:26" x14ac:dyDescent="0.2">
      <c r="B33" s="24"/>
      <c r="D33" s="129">
        <f ca="1">INDEX(INDIRECT(TDcustomEIRP!$D$4),6,SelectionTables!$D$24)</f>
        <v>100</v>
      </c>
      <c r="F33" s="15">
        <v>28</v>
      </c>
      <c r="G33" s="128" t="str">
        <f ca="1">PointATempTables!Q31</f>
        <v/>
      </c>
      <c r="H33" s="256" t="str">
        <f ca="1">ProductTable!E34</f>
        <v/>
      </c>
      <c r="I33" s="138" t="str">
        <f ca="1">PointATempTables!AH31</f>
        <v/>
      </c>
      <c r="J33" s="128" t="str">
        <f ca="1">PointATempTables!BF31</f>
        <v/>
      </c>
      <c r="K33" s="15"/>
      <c r="L33" s="15"/>
      <c r="M33" s="128" t="str">
        <f ca="1">PointATempTables!BL31</f>
        <v/>
      </c>
      <c r="N33" s="258" t="str">
        <f ca="1">PointATempTables!F31</f>
        <v/>
      </c>
      <c r="O33" s="17">
        <v>28</v>
      </c>
      <c r="Q33" s="15">
        <v>28</v>
      </c>
      <c r="R33" s="271"/>
      <c r="S33" s="274" t="str">
        <f ca="1">PointBTempTables!F31</f>
        <v/>
      </c>
      <c r="T33" s="274" t="str">
        <f ca="1">PointBTempTables!AH31</f>
        <v/>
      </c>
      <c r="U33" s="545" t="str">
        <f ca="1">PointBTempTables!BF31</f>
        <v/>
      </c>
      <c r="V33" s="15"/>
      <c r="W33" s="278"/>
      <c r="X33" s="129" t="str">
        <f ca="1">PointBTempTables!BL31</f>
        <v/>
      </c>
      <c r="Y33" s="258" t="str">
        <f ca="1">PointBTempTables!Q31</f>
        <v/>
      </c>
      <c r="Z33" s="17">
        <v>28</v>
      </c>
    </row>
    <row r="34" spans="2:26" x14ac:dyDescent="0.2">
      <c r="B34" s="24"/>
      <c r="D34" s="418"/>
      <c r="F34" s="15">
        <v>29</v>
      </c>
      <c r="G34" s="128" t="str">
        <f ca="1">PointATempTables!Q32</f>
        <v/>
      </c>
      <c r="H34" s="256" t="str">
        <f ca="1">ProductTable!E35</f>
        <v/>
      </c>
      <c r="I34" s="138" t="str">
        <f ca="1">PointATempTables!AH32</f>
        <v/>
      </c>
      <c r="J34" s="128" t="str">
        <f ca="1">PointATempTables!BF32</f>
        <v/>
      </c>
      <c r="K34" s="15"/>
      <c r="L34" s="15"/>
      <c r="M34" s="128" t="str">
        <f ca="1">PointATempTables!BL32</f>
        <v/>
      </c>
      <c r="N34" s="258" t="str">
        <f ca="1">PointATempTables!F32</f>
        <v/>
      </c>
      <c r="O34" s="17">
        <v>29</v>
      </c>
      <c r="Q34" s="15">
        <v>29</v>
      </c>
      <c r="R34" s="271"/>
      <c r="S34" s="274" t="str">
        <f ca="1">PointBTempTables!F32</f>
        <v/>
      </c>
      <c r="T34" s="274" t="str">
        <f ca="1">PointBTempTables!AH32</f>
        <v/>
      </c>
      <c r="U34" s="545" t="str">
        <f ca="1">PointBTempTables!BF32</f>
        <v/>
      </c>
      <c r="V34" s="15"/>
      <c r="W34" s="278"/>
      <c r="X34" s="129" t="str">
        <f ca="1">PointBTempTables!BL32</f>
        <v/>
      </c>
      <c r="Y34" s="258" t="str">
        <f ca="1">PointBTempTables!Q32</f>
        <v/>
      </c>
      <c r="Z34" s="17">
        <v>29</v>
      </c>
    </row>
    <row r="35" spans="2:26" x14ac:dyDescent="0.2">
      <c r="B35" s="24"/>
      <c r="D35" s="418"/>
      <c r="F35" s="15">
        <v>30</v>
      </c>
      <c r="G35" s="128" t="str">
        <f ca="1">PointATempTables!Q33</f>
        <v/>
      </c>
      <c r="H35" s="256" t="str">
        <f ca="1">ProductTable!E36</f>
        <v/>
      </c>
      <c r="I35" s="138" t="str">
        <f ca="1">PointATempTables!AH33</f>
        <v/>
      </c>
      <c r="J35" s="128" t="str">
        <f ca="1">PointATempTables!BF33</f>
        <v/>
      </c>
      <c r="K35" s="15"/>
      <c r="L35" s="15"/>
      <c r="M35" s="128" t="str">
        <f ca="1">PointATempTables!BL33</f>
        <v/>
      </c>
      <c r="N35" s="258" t="str">
        <f ca="1">PointATempTables!F33</f>
        <v/>
      </c>
      <c r="O35" s="17">
        <v>30</v>
      </c>
      <c r="Q35" s="15">
        <v>30</v>
      </c>
      <c r="R35" s="272"/>
      <c r="S35" s="274" t="str">
        <f ca="1">PointBTempTables!F33</f>
        <v/>
      </c>
      <c r="T35" s="274" t="str">
        <f ca="1">PointBTempTables!AH33</f>
        <v/>
      </c>
      <c r="U35" s="545" t="str">
        <f ca="1">PointBTempTables!BF33</f>
        <v/>
      </c>
      <c r="V35" s="15"/>
      <c r="W35" s="279"/>
      <c r="X35" s="129" t="str">
        <f ca="1">PointBTempTables!BL33</f>
        <v/>
      </c>
      <c r="Y35" s="258" t="str">
        <f ca="1">PointBTempTables!Q33</f>
        <v/>
      </c>
      <c r="Z35" s="17">
        <v>30</v>
      </c>
    </row>
    <row r="36" spans="2:26" x14ac:dyDescent="0.2">
      <c r="B36" s="24"/>
      <c r="D36" s="418"/>
      <c r="F36" s="13">
        <v>31</v>
      </c>
      <c r="G36" s="128" t="str">
        <f ca="1">PointATempTables!Q34</f>
        <v/>
      </c>
      <c r="H36" s="256" t="str">
        <f ca="1">ProductTable!E37</f>
        <v/>
      </c>
      <c r="I36" s="138" t="str">
        <f ca="1">PointATempTables!AH34</f>
        <v/>
      </c>
      <c r="J36" s="128" t="str">
        <f ca="1">PointATempTables!BF34</f>
        <v/>
      </c>
      <c r="M36" s="128" t="str">
        <f ca="1">PointATempTables!BL34</f>
        <v/>
      </c>
      <c r="N36" s="258" t="str">
        <f ca="1">PointATempTables!F34</f>
        <v/>
      </c>
      <c r="Q36" s="13">
        <v>31</v>
      </c>
      <c r="S36" s="274" t="str">
        <f ca="1">PointBTempTables!F34</f>
        <v/>
      </c>
      <c r="T36" s="274" t="str">
        <f ca="1">PointBTempTables!AH34</f>
        <v/>
      </c>
      <c r="U36" s="545" t="str">
        <f ca="1">PointBTempTables!BF34</f>
        <v/>
      </c>
      <c r="X36" s="129" t="str">
        <f ca="1">PointBTempTables!BL34</f>
        <v/>
      </c>
      <c r="Y36" s="258" t="str">
        <f ca="1">PointBTempTables!Q34</f>
        <v/>
      </c>
      <c r="Z36" s="269">
        <v>31</v>
      </c>
    </row>
    <row r="37" spans="2:26" x14ac:dyDescent="0.2">
      <c r="B37" s="24"/>
      <c r="D37" s="418"/>
      <c r="F37" s="13">
        <v>21</v>
      </c>
      <c r="G37" s="128" t="str">
        <f ca="1">PointATempTables!Q35</f>
        <v/>
      </c>
      <c r="H37" s="256" t="str">
        <f ca="1">ProductTable!E38</f>
        <v/>
      </c>
      <c r="I37" s="138" t="str">
        <f ca="1">PointATempTables!AH35</f>
        <v/>
      </c>
      <c r="J37" s="128" t="str">
        <f ca="1">PointATempTables!BF35</f>
        <v/>
      </c>
      <c r="M37" s="128" t="str">
        <f ca="1">PointATempTables!BL35</f>
        <v/>
      </c>
      <c r="N37" s="258" t="str">
        <f ca="1">PointATempTables!F35</f>
        <v/>
      </c>
      <c r="Q37" s="13">
        <v>21</v>
      </c>
      <c r="S37" s="274" t="str">
        <f ca="1">PointBTempTables!F35</f>
        <v/>
      </c>
      <c r="T37" s="274" t="str">
        <f ca="1">PointBTempTables!AH35</f>
        <v/>
      </c>
      <c r="U37" s="545" t="str">
        <f ca="1">PointBTempTables!BF35</f>
        <v/>
      </c>
      <c r="X37" s="129" t="str">
        <f ca="1">PointBTempTables!BL35</f>
        <v/>
      </c>
      <c r="Y37" s="258" t="str">
        <f ca="1">PointBTempTables!Q35</f>
        <v/>
      </c>
      <c r="Z37" s="269">
        <v>32</v>
      </c>
    </row>
    <row r="38" spans="2:26" x14ac:dyDescent="0.2">
      <c r="B38" s="24"/>
      <c r="D38" s="418"/>
      <c r="F38" s="13">
        <v>33</v>
      </c>
      <c r="G38" s="128" t="str">
        <f ca="1">PointATempTables!Q36</f>
        <v/>
      </c>
      <c r="H38" s="256" t="str">
        <f ca="1">ProductTable!E39</f>
        <v/>
      </c>
      <c r="I38" s="138" t="str">
        <f ca="1">PointATempTables!AH36</f>
        <v/>
      </c>
      <c r="J38" s="128" t="str">
        <f ca="1">PointATempTables!BF36</f>
        <v/>
      </c>
      <c r="M38" s="128" t="str">
        <f ca="1">PointATempTables!BL36</f>
        <v/>
      </c>
      <c r="N38" s="258" t="str">
        <f ca="1">PointATempTables!F36</f>
        <v/>
      </c>
      <c r="Q38" s="13">
        <v>33</v>
      </c>
      <c r="S38" s="274" t="str">
        <f ca="1">PointBTempTables!F36</f>
        <v/>
      </c>
      <c r="T38" s="274" t="str">
        <f ca="1">PointBTempTables!AH36</f>
        <v/>
      </c>
      <c r="U38" s="545" t="str">
        <f ca="1">PointBTempTables!BF36</f>
        <v/>
      </c>
      <c r="X38" s="129" t="str">
        <f ca="1">PointBTempTables!BL36</f>
        <v/>
      </c>
      <c r="Y38" s="258" t="str">
        <f ca="1">PointBTempTables!Q36</f>
        <v/>
      </c>
      <c r="Z38" s="269">
        <v>33</v>
      </c>
    </row>
    <row r="39" spans="2:26" x14ac:dyDescent="0.2">
      <c r="B39" s="24"/>
      <c r="D39" s="419"/>
      <c r="F39" s="13">
        <v>34</v>
      </c>
      <c r="G39" s="128" t="str">
        <f ca="1">PointATempTables!Q37</f>
        <v/>
      </c>
      <c r="H39" s="256" t="str">
        <f ca="1">ProductTable!E40</f>
        <v/>
      </c>
      <c r="I39" s="138" t="str">
        <f ca="1">PointATempTables!AH37</f>
        <v/>
      </c>
      <c r="J39" s="128" t="str">
        <f ca="1">PointATempTables!BF37</f>
        <v/>
      </c>
      <c r="M39" s="128" t="str">
        <f ca="1">PointATempTables!BL37</f>
        <v/>
      </c>
      <c r="N39" s="258" t="str">
        <f ca="1">PointATempTables!F37</f>
        <v/>
      </c>
      <c r="Q39" s="13">
        <v>34</v>
      </c>
      <c r="S39" s="274" t="str">
        <f ca="1">PointBTempTables!F37</f>
        <v/>
      </c>
      <c r="T39" s="274" t="str">
        <f ca="1">PointBTempTables!AH37</f>
        <v/>
      </c>
      <c r="U39" s="545" t="str">
        <f ca="1">PointBTempTables!BF37</f>
        <v/>
      </c>
      <c r="X39" s="129" t="str">
        <f ca="1">PointBTempTables!BL37</f>
        <v/>
      </c>
      <c r="Y39" s="258" t="str">
        <f ca="1">PointBTempTables!Q37</f>
        <v/>
      </c>
      <c r="Z39" s="269">
        <v>34</v>
      </c>
    </row>
    <row r="40" spans="2:26" x14ac:dyDescent="0.2">
      <c r="B40" s="24"/>
      <c r="C40" s="181" t="s">
        <v>139</v>
      </c>
      <c r="D40" s="73">
        <v>1</v>
      </c>
      <c r="F40" s="13">
        <v>35</v>
      </c>
      <c r="G40" s="128" t="str">
        <f ca="1">PointATempTables!Q38</f>
        <v/>
      </c>
      <c r="H40" s="256" t="str">
        <f ca="1">ProductTable!E41</f>
        <v/>
      </c>
      <c r="I40" s="138" t="str">
        <f ca="1">PointATempTables!AH38</f>
        <v/>
      </c>
      <c r="J40" s="128" t="str">
        <f ca="1">PointATempTables!BF38</f>
        <v/>
      </c>
      <c r="M40" s="128" t="str">
        <f ca="1">PointATempTables!BL38</f>
        <v/>
      </c>
      <c r="N40" s="258" t="str">
        <f ca="1">PointATempTables!F38</f>
        <v/>
      </c>
      <c r="Q40" s="13">
        <v>35</v>
      </c>
      <c r="S40" s="274" t="str">
        <f ca="1">PointBTempTables!F38</f>
        <v/>
      </c>
      <c r="T40" s="274" t="str">
        <f ca="1">PointBTempTables!AH38</f>
        <v/>
      </c>
      <c r="U40" s="545" t="str">
        <f ca="1">PointBTempTables!BF38</f>
        <v/>
      </c>
      <c r="X40" s="129" t="str">
        <f ca="1">PointBTempTables!BL38</f>
        <v/>
      </c>
      <c r="Y40" s="258" t="str">
        <f ca="1">PointBTempTables!Q38</f>
        <v/>
      </c>
      <c r="Z40" s="269">
        <v>35</v>
      </c>
    </row>
    <row r="41" spans="2:26" x14ac:dyDescent="0.2">
      <c r="B41" s="24"/>
      <c r="C41" s="181" t="s">
        <v>420</v>
      </c>
      <c r="D41" s="73">
        <f ca="1">INDEX(D28:D39,D40)</f>
        <v>4000</v>
      </c>
      <c r="F41" s="13">
        <v>36</v>
      </c>
      <c r="G41" s="128" t="str">
        <f ca="1">PointATempTables!Q39</f>
        <v/>
      </c>
      <c r="H41" s="256" t="str">
        <f ca="1">ProductTable!E42</f>
        <v/>
      </c>
      <c r="I41" s="138" t="str">
        <f ca="1">PointATempTables!AH39</f>
        <v/>
      </c>
      <c r="J41" s="128" t="str">
        <f ca="1">PointATempTables!BF39</f>
        <v/>
      </c>
      <c r="M41" s="128" t="str">
        <f ca="1">PointATempTables!BL39</f>
        <v/>
      </c>
      <c r="N41" s="258" t="str">
        <f ca="1">PointATempTables!F39</f>
        <v/>
      </c>
      <c r="Q41" s="13">
        <v>36</v>
      </c>
      <c r="S41" s="274" t="str">
        <f ca="1">PointBTempTables!F39</f>
        <v/>
      </c>
      <c r="T41" s="274" t="str">
        <f ca="1">PointBTempTables!AH39</f>
        <v/>
      </c>
      <c r="U41" s="545" t="str">
        <f ca="1">PointBTempTables!BF39</f>
        <v/>
      </c>
      <c r="X41" s="129" t="str">
        <f ca="1">PointBTempTables!BL39</f>
        <v/>
      </c>
      <c r="Y41" s="258" t="str">
        <f ca="1">PointBTempTables!Q39</f>
        <v/>
      </c>
      <c r="Z41" s="269">
        <v>36</v>
      </c>
    </row>
    <row r="42" spans="2:26" x14ac:dyDescent="0.2">
      <c r="B42" s="24"/>
      <c r="C42" s="181" t="s">
        <v>432</v>
      </c>
      <c r="D42" s="73">
        <f ca="1">INDEX(INDIRECT(TDcustomEIRP!D6),SelectionTables!D40)</f>
        <v>36</v>
      </c>
      <c r="F42" s="13">
        <v>37</v>
      </c>
      <c r="G42" s="128" t="str">
        <f ca="1">PointATempTables!Q40</f>
        <v/>
      </c>
      <c r="H42" s="256" t="str">
        <f ca="1">ProductTable!E43</f>
        <v/>
      </c>
      <c r="I42" s="138" t="str">
        <f ca="1">PointATempTables!AH40</f>
        <v/>
      </c>
      <c r="J42" s="128" t="str">
        <f ca="1">PointATempTables!BF40</f>
        <v/>
      </c>
      <c r="M42" s="128" t="str">
        <f ca="1">PointATempTables!BL40</f>
        <v/>
      </c>
      <c r="N42" s="258" t="str">
        <f ca="1">PointATempTables!F40</f>
        <v/>
      </c>
      <c r="Q42" s="13">
        <v>37</v>
      </c>
      <c r="S42" s="274" t="str">
        <f ca="1">PointBTempTables!F40</f>
        <v/>
      </c>
      <c r="T42" s="274" t="str">
        <f ca="1">PointBTempTables!AH40</f>
        <v/>
      </c>
      <c r="U42" s="545" t="str">
        <f ca="1">PointBTempTables!BF40</f>
        <v/>
      </c>
      <c r="X42" s="129" t="str">
        <f ca="1">PointBTempTables!BL40</f>
        <v/>
      </c>
      <c r="Y42" s="258" t="str">
        <f ca="1">PointBTempTables!Q40</f>
        <v/>
      </c>
      <c r="Z42" s="269">
        <v>37</v>
      </c>
    </row>
    <row r="43" spans="2:26" x14ac:dyDescent="0.2">
      <c r="B43" s="24"/>
      <c r="F43" s="13">
        <v>38</v>
      </c>
      <c r="G43" s="128" t="str">
        <f ca="1">PointATempTables!Q41</f>
        <v/>
      </c>
      <c r="H43" s="256" t="str">
        <f ca="1">ProductTable!E44</f>
        <v/>
      </c>
      <c r="I43" s="138" t="str">
        <f ca="1">PointATempTables!AH41</f>
        <v/>
      </c>
      <c r="J43" s="128" t="str">
        <f ca="1">PointATempTables!BF41</f>
        <v/>
      </c>
      <c r="M43" s="128" t="str">
        <f ca="1">PointATempTables!BL41</f>
        <v/>
      </c>
      <c r="N43" s="258" t="str">
        <f ca="1">PointATempTables!F41</f>
        <v/>
      </c>
      <c r="Q43" s="13">
        <v>38</v>
      </c>
      <c r="S43" s="274" t="str">
        <f ca="1">PointBTempTables!F41</f>
        <v/>
      </c>
      <c r="T43" s="274" t="str">
        <f ca="1">PointBTempTables!AH41</f>
        <v/>
      </c>
      <c r="U43" s="545" t="str">
        <f ca="1">PointBTempTables!BF41</f>
        <v/>
      </c>
      <c r="X43" s="129" t="str">
        <f ca="1">PointBTempTables!BL41</f>
        <v/>
      </c>
      <c r="Y43" s="258" t="str">
        <f ca="1">PointBTempTables!Q41</f>
        <v/>
      </c>
      <c r="Z43" s="269">
        <v>38</v>
      </c>
    </row>
    <row r="44" spans="2:26" ht="10.5" x14ac:dyDescent="0.25">
      <c r="B44" s="24"/>
      <c r="D44" s="417" t="s">
        <v>426</v>
      </c>
      <c r="F44" s="13">
        <v>39</v>
      </c>
      <c r="G44" s="128" t="str">
        <f ca="1">PointATempTables!Q42</f>
        <v/>
      </c>
      <c r="H44" s="256" t="str">
        <f ca="1">ProductTable!E45</f>
        <v/>
      </c>
      <c r="I44" s="138" t="str">
        <f ca="1">PointATempTables!AH42</f>
        <v/>
      </c>
      <c r="J44" s="128" t="str">
        <f ca="1">PointATempTables!BF42</f>
        <v/>
      </c>
      <c r="M44" s="128" t="str">
        <f ca="1">PointATempTables!BL42</f>
        <v/>
      </c>
      <c r="N44" s="258" t="str">
        <f ca="1">PointATempTables!F42</f>
        <v/>
      </c>
      <c r="Q44" s="13">
        <v>39</v>
      </c>
      <c r="S44" s="274" t="str">
        <f ca="1">PointBTempTables!F42</f>
        <v/>
      </c>
      <c r="T44" s="274" t="str">
        <f ca="1">PointBTempTables!AH42</f>
        <v/>
      </c>
      <c r="U44" s="545" t="str">
        <f ca="1">PointBTempTables!BF42</f>
        <v/>
      </c>
      <c r="X44" s="129" t="str">
        <f ca="1">PointBTempTables!BL42</f>
        <v/>
      </c>
      <c r="Y44" s="258" t="str">
        <f ca="1">PointBTempTables!Q42</f>
        <v/>
      </c>
      <c r="Z44" s="269">
        <v>39</v>
      </c>
    </row>
    <row r="45" spans="2:26" x14ac:dyDescent="0.2">
      <c r="B45" s="24"/>
      <c r="D45" s="73" t="b">
        <v>1</v>
      </c>
      <c r="F45" s="13">
        <v>40</v>
      </c>
      <c r="G45" s="130" t="str">
        <f ca="1">PointATempTables!Q43</f>
        <v/>
      </c>
      <c r="H45" s="257" t="str">
        <f ca="1">ProductTable!E46</f>
        <v/>
      </c>
      <c r="I45" s="544" t="str">
        <f ca="1">PointATempTables!AH43</f>
        <v/>
      </c>
      <c r="J45" s="130" t="str">
        <f ca="1">PointATempTables!BF43</f>
        <v/>
      </c>
      <c r="M45" s="130" t="str">
        <f ca="1">PointATempTables!BL43</f>
        <v/>
      </c>
      <c r="N45" s="264" t="str">
        <f ca="1">PointATempTables!F43</f>
        <v/>
      </c>
      <c r="Q45" s="13">
        <v>40</v>
      </c>
      <c r="S45" s="275" t="str">
        <f ca="1">PointBTempTables!F43</f>
        <v/>
      </c>
      <c r="T45" s="275" t="str">
        <f ca="1">PointBTempTables!AH43</f>
        <v/>
      </c>
      <c r="U45" s="545" t="str">
        <f ca="1">PointBTempTables!BF43</f>
        <v/>
      </c>
      <c r="X45" s="131" t="str">
        <f ca="1">PointBTempTables!BL43</f>
        <v/>
      </c>
      <c r="Y45" s="264" t="str">
        <f ca="1">PointBTempTables!Q43</f>
        <v/>
      </c>
      <c r="Z45" s="269">
        <v>40</v>
      </c>
    </row>
    <row r="46" spans="2:26" x14ac:dyDescent="0.2">
      <c r="B46" s="24"/>
      <c r="F46" s="123"/>
      <c r="G46" s="123"/>
      <c r="H46" s="15"/>
      <c r="Q46" s="13">
        <v>41</v>
      </c>
    </row>
    <row r="47" spans="2:26" x14ac:dyDescent="0.2">
      <c r="F47" s="123"/>
      <c r="G47" s="123"/>
      <c r="H47" s="15"/>
      <c r="Q47" s="13">
        <v>42</v>
      </c>
    </row>
    <row r="48" spans="2:26" x14ac:dyDescent="0.2">
      <c r="F48" s="123"/>
      <c r="G48" s="123"/>
      <c r="H48" s="15"/>
      <c r="Q48" s="13">
        <v>43</v>
      </c>
    </row>
    <row r="49" spans="6:17" x14ac:dyDescent="0.2">
      <c r="F49" s="123"/>
      <c r="G49" s="123"/>
      <c r="H49" s="15"/>
      <c r="Q49" s="13">
        <v>44</v>
      </c>
    </row>
    <row r="50" spans="6:17" x14ac:dyDescent="0.2">
      <c r="F50" s="123"/>
      <c r="G50" s="123"/>
      <c r="H50" s="15"/>
      <c r="Q50" s="13">
        <v>45</v>
      </c>
    </row>
    <row r="51" spans="6:17" x14ac:dyDescent="0.2">
      <c r="F51" s="123"/>
      <c r="G51" s="123"/>
      <c r="H51" s="15"/>
      <c r="Q51" s="13">
        <v>46</v>
      </c>
    </row>
    <row r="52" spans="6:17" x14ac:dyDescent="0.2">
      <c r="F52" s="123"/>
      <c r="G52" s="123"/>
      <c r="H52" s="15"/>
      <c r="Q52" s="13">
        <v>47</v>
      </c>
    </row>
    <row r="53" spans="6:17" x14ac:dyDescent="0.2">
      <c r="F53" s="123"/>
      <c r="G53" s="123"/>
      <c r="H53" s="15"/>
      <c r="Q53" s="13">
        <v>48</v>
      </c>
    </row>
    <row r="54" spans="6:17" x14ac:dyDescent="0.2">
      <c r="F54" s="123"/>
      <c r="G54" s="123"/>
      <c r="H54" s="15"/>
      <c r="Q54" s="13">
        <v>49</v>
      </c>
    </row>
    <row r="55" spans="6:17" x14ac:dyDescent="0.2">
      <c r="F55" s="123"/>
      <c r="G55" s="123"/>
      <c r="H55" s="15"/>
      <c r="Q55" s="13">
        <v>50</v>
      </c>
    </row>
    <row r="56" spans="6:17" x14ac:dyDescent="0.2">
      <c r="F56" s="123"/>
      <c r="G56" s="123"/>
      <c r="H56" s="15"/>
      <c r="Q56" s="13">
        <v>51</v>
      </c>
    </row>
    <row r="57" spans="6:17" x14ac:dyDescent="0.2">
      <c r="F57" s="123"/>
      <c r="G57" s="123"/>
      <c r="H57" s="15"/>
      <c r="Q57" s="13">
        <v>52</v>
      </c>
    </row>
    <row r="58" spans="6:17" x14ac:dyDescent="0.2">
      <c r="F58" s="123"/>
      <c r="G58" s="123"/>
      <c r="H58" s="15"/>
      <c r="Q58" s="13">
        <v>53</v>
      </c>
    </row>
    <row r="59" spans="6:17" x14ac:dyDescent="0.2">
      <c r="F59" s="123"/>
      <c r="G59" s="123"/>
      <c r="H59" s="15"/>
      <c r="Q59" s="13">
        <v>54</v>
      </c>
    </row>
    <row r="60" spans="6:17" x14ac:dyDescent="0.2">
      <c r="F60" s="123"/>
      <c r="G60" s="123"/>
      <c r="H60" s="15"/>
      <c r="Q60" s="13">
        <v>55</v>
      </c>
    </row>
    <row r="61" spans="6:17" x14ac:dyDescent="0.2">
      <c r="F61" s="123"/>
      <c r="G61" s="123"/>
      <c r="H61" s="15"/>
      <c r="Q61" s="13">
        <v>56</v>
      </c>
    </row>
    <row r="62" spans="6:17" x14ac:dyDescent="0.2">
      <c r="F62" s="123"/>
      <c r="G62" s="123"/>
      <c r="H62" s="15"/>
      <c r="Q62" s="13">
        <v>57</v>
      </c>
    </row>
    <row r="63" spans="6:17" x14ac:dyDescent="0.2">
      <c r="F63" s="123"/>
      <c r="G63" s="123"/>
      <c r="H63" s="15"/>
      <c r="Q63" s="13">
        <v>58</v>
      </c>
    </row>
    <row r="64" spans="6:17" x14ac:dyDescent="0.2">
      <c r="F64" s="123"/>
      <c r="G64" s="123"/>
      <c r="H64" s="15"/>
      <c r="Q64" s="13">
        <v>59</v>
      </c>
    </row>
    <row r="65" spans="6:17" x14ac:dyDescent="0.2">
      <c r="F65" s="123"/>
      <c r="G65" s="123"/>
      <c r="H65" s="15"/>
      <c r="Q65" s="13">
        <v>60</v>
      </c>
    </row>
    <row r="76" spans="6:17" x14ac:dyDescent="0.2">
      <c r="G76" s="123"/>
    </row>
    <row r="77" spans="6:17" ht="10.5" x14ac:dyDescent="0.25">
      <c r="G77" s="75"/>
    </row>
    <row r="78" spans="6:17" x14ac:dyDescent="0.2">
      <c r="G78" s="214"/>
    </row>
    <row r="79" spans="6:17" x14ac:dyDescent="0.2">
      <c r="G79" s="214"/>
    </row>
    <row r="80" spans="6:17" x14ac:dyDescent="0.2">
      <c r="G80" s="214"/>
    </row>
    <row r="81" spans="7:7" x14ac:dyDescent="0.2">
      <c r="G81" s="214"/>
    </row>
    <row r="82" spans="7:7" x14ac:dyDescent="0.2">
      <c r="G82" s="214"/>
    </row>
    <row r="83" spans="7:7" x14ac:dyDescent="0.2">
      <c r="G83" s="214"/>
    </row>
    <row r="84" spans="7:7" x14ac:dyDescent="0.2">
      <c r="G84" s="214"/>
    </row>
    <row r="85" spans="7:7" x14ac:dyDescent="0.2">
      <c r="G85" s="214"/>
    </row>
    <row r="86" spans="7:7" x14ac:dyDescent="0.2">
      <c r="G86" s="214"/>
    </row>
    <row r="87" spans="7:7" x14ac:dyDescent="0.2">
      <c r="G87" s="214"/>
    </row>
    <row r="88" spans="7:7" x14ac:dyDescent="0.2">
      <c r="G88" s="214"/>
    </row>
    <row r="89" spans="7:7" x14ac:dyDescent="0.2">
      <c r="G89" s="123"/>
    </row>
    <row r="90" spans="7:7" x14ac:dyDescent="0.2">
      <c r="G90" s="123"/>
    </row>
    <row r="91" spans="7:7" x14ac:dyDescent="0.2">
      <c r="G91" s="123"/>
    </row>
    <row r="92" spans="7:7" x14ac:dyDescent="0.2">
      <c r="G92" s="123"/>
    </row>
  </sheetData>
  <mergeCells count="1">
    <mergeCell ref="G2:N2"/>
  </mergeCells>
  <phoneticPr fontId="2" type="noConversion"/>
  <pageMargins left="0.78740157499999996" right="0.78740157499999996" top="0.984251969" bottom="0.984251969" header="0.4921259845" footer="0.4921259845"/>
  <pageSetup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4"/>
  <dimension ref="B1:S84"/>
  <sheetViews>
    <sheetView topLeftCell="B1" workbookViewId="0">
      <selection activeCell="D2" sqref="D2"/>
    </sheetView>
  </sheetViews>
  <sheetFormatPr baseColWidth="10" defaultColWidth="11.453125" defaultRowHeight="10" x14ac:dyDescent="0.2"/>
  <cols>
    <col min="1" max="1" width="3.453125" style="1" customWidth="1"/>
    <col min="2" max="2" width="7.1796875" style="1" bestFit="1" customWidth="1"/>
    <col min="3" max="3" width="24.1796875" style="1" bestFit="1" customWidth="1"/>
    <col min="4" max="4" width="14.7265625" style="1" bestFit="1" customWidth="1"/>
    <col min="5" max="5" width="15.1796875" style="1" bestFit="1" customWidth="1"/>
    <col min="6" max="6" width="19.26953125" style="1" bestFit="1" customWidth="1"/>
    <col min="7" max="7" width="14.81640625" style="1" bestFit="1" customWidth="1"/>
    <col min="8" max="8" width="15.1796875" style="1" bestFit="1" customWidth="1"/>
    <col min="9" max="15" width="18.26953125" style="1" customWidth="1"/>
    <col min="16" max="16" width="3.81640625" style="1" customWidth="1"/>
    <col min="17" max="17" width="3.1796875" style="1" customWidth="1"/>
    <col min="18" max="18" width="6.453125" style="1" bestFit="1" customWidth="1"/>
    <col min="19" max="19" width="21" style="1" bestFit="1" customWidth="1"/>
    <col min="20" max="20" width="10.1796875" style="1" bestFit="1" customWidth="1"/>
    <col min="21" max="21" width="15.1796875" style="1" bestFit="1" customWidth="1"/>
    <col min="22" max="22" width="18.26953125" style="1" bestFit="1" customWidth="1"/>
    <col min="23" max="23" width="15.1796875" style="1" bestFit="1" customWidth="1"/>
    <col min="24" max="24" width="18.26953125" style="1" bestFit="1" customWidth="1"/>
    <col min="25" max="25" width="2.81640625" style="1" bestFit="1" customWidth="1"/>
    <col min="26" max="16384" width="11.453125" style="1"/>
  </cols>
  <sheetData>
    <row r="1" spans="2:19" ht="10.5" thickBot="1" x14ac:dyDescent="0.25">
      <c r="B1" s="845" t="s">
        <v>98</v>
      </c>
      <c r="C1" s="861"/>
      <c r="D1" s="846"/>
    </row>
    <row r="2" spans="2:19" ht="10.5" x14ac:dyDescent="0.25">
      <c r="B2" s="49" t="s">
        <v>48</v>
      </c>
      <c r="C2" s="50"/>
      <c r="D2" s="50"/>
      <c r="E2" s="50"/>
      <c r="F2" s="50"/>
      <c r="G2" s="50"/>
      <c r="H2" s="50"/>
      <c r="I2" s="50"/>
      <c r="J2" s="50"/>
      <c r="K2" s="50"/>
      <c r="L2" s="50"/>
      <c r="M2" s="50"/>
      <c r="N2" s="50"/>
      <c r="O2" s="50"/>
      <c r="P2" s="51"/>
    </row>
    <row r="3" spans="2:19" ht="12.5" x14ac:dyDescent="0.25">
      <c r="B3" s="52"/>
      <c r="C3" s="282" t="s">
        <v>346</v>
      </c>
      <c r="D3" s="859" t="str">
        <f ca="1">SelectionTables!G4</f>
        <v>802.11ac (5 GHz)</v>
      </c>
      <c r="E3" s="860"/>
      <c r="G3" s="282" t="s">
        <v>37</v>
      </c>
      <c r="H3" s="291" t="str">
        <f ca="1">SelectionTables!B5</f>
        <v>5 GHz</v>
      </c>
      <c r="I3" s="2"/>
      <c r="J3" s="2"/>
      <c r="K3" s="2"/>
      <c r="L3" s="2"/>
      <c r="M3" s="2"/>
      <c r="N3" s="2"/>
      <c r="O3" s="2"/>
      <c r="P3" s="53"/>
    </row>
    <row r="4" spans="2:19" x14ac:dyDescent="0.2">
      <c r="B4" s="52"/>
      <c r="C4" s="5" t="s">
        <v>347</v>
      </c>
      <c r="D4" s="292">
        <f ca="1">MATCH(D3,INDIRECT(ProductTable!AA4),0)</f>
        <v>7</v>
      </c>
      <c r="E4" s="20"/>
      <c r="F4" s="2"/>
      <c r="G4" s="282" t="s">
        <v>348</v>
      </c>
      <c r="H4" s="76">
        <f ca="1">MATCH(H3,SelectionTables!B7:B8,0)</f>
        <v>2</v>
      </c>
      <c r="I4" s="2"/>
      <c r="J4" s="2"/>
      <c r="K4" s="2"/>
      <c r="L4" s="2"/>
      <c r="M4" s="2"/>
      <c r="N4" s="2"/>
      <c r="O4" s="2"/>
      <c r="P4" s="53"/>
    </row>
    <row r="5" spans="2:19" x14ac:dyDescent="0.2">
      <c r="B5" s="52"/>
      <c r="C5" s="282" t="s">
        <v>52</v>
      </c>
      <c r="D5" s="283" t="str">
        <f>SelectionTables!L4</f>
        <v>Yes</v>
      </c>
      <c r="E5" s="284">
        <f>IF(SelectionTables!L3=1,10,0)</f>
        <v>10</v>
      </c>
      <c r="F5" s="2" t="s">
        <v>50</v>
      </c>
      <c r="G5" s="2"/>
      <c r="H5" s="2"/>
      <c r="I5" s="2"/>
      <c r="J5" s="2"/>
      <c r="K5" s="2"/>
      <c r="L5" s="2"/>
      <c r="M5" s="2"/>
      <c r="N5" s="2"/>
      <c r="O5" s="2"/>
      <c r="P5" s="53"/>
    </row>
    <row r="6" spans="2:19" ht="10.5" thickBot="1" x14ac:dyDescent="0.25">
      <c r="B6" s="54"/>
      <c r="C6" s="55"/>
      <c r="D6" s="55"/>
      <c r="E6" s="55"/>
      <c r="F6" s="55"/>
      <c r="G6" s="55"/>
      <c r="H6" s="55"/>
      <c r="I6" s="55"/>
      <c r="J6" s="55"/>
      <c r="K6" s="55"/>
      <c r="L6" s="55"/>
      <c r="M6" s="55"/>
      <c r="N6" s="55"/>
      <c r="O6" s="55"/>
      <c r="P6" s="56"/>
    </row>
    <row r="7" spans="2:19" ht="10.5" thickBot="1" x14ac:dyDescent="0.25"/>
    <row r="8" spans="2:19" ht="10.5" x14ac:dyDescent="0.25">
      <c r="B8" s="57" t="s">
        <v>47</v>
      </c>
      <c r="C8" s="50"/>
      <c r="D8" s="50"/>
      <c r="E8" s="50"/>
      <c r="F8" s="50"/>
      <c r="G8" s="50"/>
      <c r="H8" s="50"/>
      <c r="I8" s="50"/>
      <c r="J8" s="50"/>
      <c r="K8" s="50"/>
      <c r="L8" s="50"/>
      <c r="M8" s="50"/>
      <c r="N8" s="50"/>
      <c r="O8" s="50"/>
      <c r="P8" s="51"/>
      <c r="Q8" s="2"/>
    </row>
    <row r="9" spans="2:19" ht="10.5" x14ac:dyDescent="0.25">
      <c r="B9" s="107"/>
      <c r="C9" s="58" t="s">
        <v>91</v>
      </c>
      <c r="D9" s="2"/>
      <c r="E9" s="75"/>
      <c r="F9" s="2"/>
      <c r="G9" s="2"/>
      <c r="H9" s="2"/>
      <c r="I9" s="2"/>
      <c r="J9" s="2"/>
      <c r="K9" s="2"/>
      <c r="L9" s="2"/>
      <c r="M9" s="2"/>
      <c r="N9" s="2"/>
      <c r="O9" s="2"/>
      <c r="P9" s="53"/>
      <c r="Q9" s="2"/>
      <c r="R9" s="2"/>
    </row>
    <row r="10" spans="2:19" ht="10.5" x14ac:dyDescent="0.25">
      <c r="B10" s="107"/>
      <c r="C10" s="65" t="str">
        <f ca="1">SelectionTables!H4</f>
        <v>LANCOM LN-1702B</v>
      </c>
      <c r="D10" s="2"/>
      <c r="E10" s="24"/>
      <c r="F10" s="2"/>
      <c r="G10" s="2"/>
      <c r="H10" s="2"/>
      <c r="I10" s="2"/>
      <c r="J10" s="2"/>
      <c r="K10" s="2"/>
      <c r="L10" s="2"/>
      <c r="M10" s="2"/>
      <c r="N10" s="2"/>
      <c r="O10" s="2"/>
      <c r="P10" s="53"/>
      <c r="Q10" s="2"/>
    </row>
    <row r="11" spans="2:19" ht="10.5" x14ac:dyDescent="0.25">
      <c r="B11" s="107"/>
      <c r="C11" s="2"/>
      <c r="D11" s="2"/>
      <c r="E11" s="2"/>
      <c r="F11" s="2"/>
      <c r="G11" s="2"/>
      <c r="H11" s="2"/>
      <c r="I11" s="2"/>
      <c r="J11" s="2"/>
      <c r="K11" s="2"/>
      <c r="L11" s="2"/>
      <c r="M11" s="2"/>
      <c r="N11" s="2"/>
      <c r="O11" s="2"/>
      <c r="P11" s="53"/>
      <c r="Q11" s="2"/>
    </row>
    <row r="12" spans="2:19" ht="11" thickBot="1" x14ac:dyDescent="0.3">
      <c r="B12" s="52"/>
      <c r="C12" s="58" t="s">
        <v>23</v>
      </c>
      <c r="D12" s="43" t="s">
        <v>90</v>
      </c>
      <c r="E12" s="43" t="s">
        <v>79</v>
      </c>
      <c r="F12" s="43" t="s">
        <v>80</v>
      </c>
      <c r="G12" s="58" t="s">
        <v>89</v>
      </c>
      <c r="H12" s="43" t="s">
        <v>81</v>
      </c>
      <c r="I12" s="43" t="s">
        <v>82</v>
      </c>
      <c r="J12" s="58" t="s">
        <v>506</v>
      </c>
      <c r="K12" s="43" t="s">
        <v>507</v>
      </c>
      <c r="L12" s="43" t="s">
        <v>508</v>
      </c>
      <c r="M12" s="58" t="s">
        <v>509</v>
      </c>
      <c r="N12" s="43" t="s">
        <v>510</v>
      </c>
      <c r="O12" s="43" t="s">
        <v>511</v>
      </c>
      <c r="P12" s="114"/>
      <c r="Q12" s="43"/>
    </row>
    <row r="13" spans="2:19" x14ac:dyDescent="0.2">
      <c r="B13" s="52"/>
      <c r="C13" s="65" t="str">
        <f ca="1">SelectionTables!N4</f>
        <v>QCA9984</v>
      </c>
      <c r="D13" s="645">
        <f ca="1">D30*INDEX(INDIRECT(INDEX(INDIRECT(TDWLANModule!$C$1),MATCH(TDSelected!$C$13,INDIRECT(TDWLANModule!$B$1),0))),1,1+(12*(TDSelected!$D$4-1)))</f>
        <v>21.6</v>
      </c>
      <c r="E13" s="646">
        <f ca="1">INDEX(INDIRECT(INDEX(INDIRECT(TDWLANModule!$C$1),MATCH(TDSelected!$C$13,INDIRECT(TDWLANModule!$B$1),0))),1,2+(12*(TDSelected!$D$4-1)))</f>
        <v>23</v>
      </c>
      <c r="F13" s="647">
        <f ca="1">INDEX(INDIRECT(INDEX(INDIRECT(TDWLANModule!$C$1),MATCH(TDSelected!$C$13,INDIRECT(TDWLANModule!$B$1),0))),1,3+(12*(TDSelected!$D$4-1)))</f>
        <v>-88</v>
      </c>
      <c r="G13" s="645">
        <f ca="1">$D$30*INDEX(INDIRECT(INDEX(INDIRECT(TDWLANModule!$C$1),MATCH(TDSelected!$C$13,INDIRECT(TDWLANModule!$B$1),0))),1,4+(12*(TDSelected!$D$4-1)))</f>
        <v>45</v>
      </c>
      <c r="H13" s="646">
        <f ca="1">INDEX(INDIRECT(INDEX(INDIRECT(TDWLANModule!$C$1),MATCH(TDSelected!$C$13,INDIRECT(TDWLANModule!$B$1),0))),1,5+(12*(TDSelected!$D$4-1)))</f>
        <v>23</v>
      </c>
      <c r="I13" s="647">
        <f ca="1">INDEX(INDIRECT(INDEX(INDIRECT(TDWLANModule!$C$1),MATCH(TDSelected!$C$13,INDIRECT(TDWLANModule!$B$1),0))),1,6+(12*(TDSelected!$D$4-1)))</f>
        <v>-89</v>
      </c>
      <c r="J13" s="645">
        <f ca="1">$D$30*INDEX(INDIRECT(INDEX(INDIRECT(TDWLANModule!$C$1),MATCH(TDSelected!$C$13,INDIRECT(TDWLANModule!$B$1),0))),1,7+(12*(TDSelected!$D$4-1)))</f>
        <v>97.5</v>
      </c>
      <c r="K13" s="646">
        <f ca="1">INDEX(INDIRECT(INDEX(INDIRECT(TDWLANModule!$C$1),MATCH(TDSelected!$C$13,INDIRECT(TDWLANModule!$B$1),0))),1,8+(12*(TDSelected!$D$4-1)))</f>
        <v>23</v>
      </c>
      <c r="L13" s="647">
        <f ca="1">INDEX(INDIRECT(INDEX(INDIRECT(TDWLANModule!$C$1),MATCH(TDSelected!$C$13,INDIRECT(TDWLANModule!$B$1),0))),1,9+(12*(TDSelected!$D$4-1)))</f>
        <v>-89</v>
      </c>
      <c r="M13" s="645">
        <f ca="1">$D$30*INDEX(INDIRECT(INDEX(INDIRECT(TDWLANModule!$C$1),MATCH(TDSelected!$C$13,INDIRECT(TDWLANModule!$B$1),0))),1,10+(12*(TDSelected!$D$4-1)))</f>
        <v>195</v>
      </c>
      <c r="N13" s="646">
        <f ca="1">INDEX(INDIRECT(INDEX(INDIRECT(TDWLANModule!$C$1),MATCH(TDSelected!$C$13,INDIRECT(TDWLANModule!$B$1),0))),1,11+(12*(TDSelected!$D$4-1)))</f>
        <v>22</v>
      </c>
      <c r="O13" s="647">
        <f ca="1">INDEX(INDIRECT(INDEX(INDIRECT(TDWLANModule!$C$1),MATCH(TDSelected!$C$13,INDIRECT(TDWLANModule!$B$1),0))),1,12+(12*(TDSelected!$D$4-1)))</f>
        <v>-86</v>
      </c>
      <c r="P13" s="115"/>
      <c r="Q13" s="2"/>
    </row>
    <row r="14" spans="2:19" x14ac:dyDescent="0.2">
      <c r="B14" s="52"/>
      <c r="C14" s="83" t="str">
        <f>IF((E10="Ja"),"Client Adapter used","")</f>
        <v/>
      </c>
      <c r="D14" s="648">
        <f ca="1">$D$30*INDEX(INDIRECT(INDEX(INDIRECT(TDWLANModule!$C$1),MATCH(TDSelected!$C$13,INDIRECT(TDWLANModule!$B$1),0))),2,1+(12*(TDSelected!$D$4-1)))</f>
        <v>43.2</v>
      </c>
      <c r="E14" s="649">
        <f ca="1">INDEX(INDIRECT(INDEX(INDIRECT(TDWLANModule!$C$1),MATCH(TDSelected!$C$13,INDIRECT(TDWLANModule!$B$1),0))),2,2+(12*(TDSelected!$D$4-1)))</f>
        <v>23</v>
      </c>
      <c r="F14" s="650">
        <f ca="1">INDEX(INDIRECT(INDEX(INDIRECT(TDWLANModule!$C$1),MATCH(TDSelected!$C$13,INDIRECT(TDWLANModule!$B$1),0))),2,3+(12*(TDSelected!$D$4-1)))</f>
        <v>-85</v>
      </c>
      <c r="G14" s="648">
        <f ca="1">$D$30*INDEX(INDIRECT(INDEX(INDIRECT(TDWLANModule!$C$1),MATCH(TDSelected!$C$13,INDIRECT(TDWLANModule!$B$1),0))),2,4+(12*(TDSelected!$D$4-1)))</f>
        <v>90</v>
      </c>
      <c r="H14" s="649">
        <f ca="1">INDEX(INDIRECT(INDEX(INDIRECT(TDWLANModule!$C$1),MATCH(TDSelected!$C$13,INDIRECT(TDWLANModule!$B$1),0))),2,5+(12*(TDSelected!$D$4-1)))</f>
        <v>23</v>
      </c>
      <c r="I14" s="650">
        <f ca="1">INDEX(INDIRECT(INDEX(INDIRECT(TDWLANModule!$C$1),MATCH(TDSelected!$C$13,INDIRECT(TDWLANModule!$B$1),0))),2,6+(12*(TDSelected!$D$4-1)))</f>
        <v>-87</v>
      </c>
      <c r="J14" s="648">
        <f ca="1">$D$30*INDEX(INDIRECT(INDEX(INDIRECT(TDWLANModule!$C$1),MATCH(TDSelected!$C$13,INDIRECT(TDWLANModule!$B$1),0))),2,7+(12*(TDSelected!$D$4-1)))</f>
        <v>195</v>
      </c>
      <c r="K14" s="649">
        <f ca="1">INDEX(INDIRECT(INDEX(INDIRECT(TDWLANModule!$C$1),MATCH(TDSelected!$C$13,INDIRECT(TDWLANModule!$B$1),0))),2,8+(12*(TDSelected!$D$4-1)))</f>
        <v>23</v>
      </c>
      <c r="L14" s="650">
        <f ca="1">INDEX(INDIRECT(INDEX(INDIRECT(TDWLANModule!$C$1),MATCH(TDSelected!$C$13,INDIRECT(TDWLANModule!$B$1),0))),2,9+(12*(TDSelected!$D$4-1)))</f>
        <v>-87</v>
      </c>
      <c r="M14" s="648">
        <f ca="1">$D$30*INDEX(INDIRECT(INDEX(INDIRECT(TDWLANModule!$C$1),MATCH(TDSelected!$C$13,INDIRECT(TDWLANModule!$B$1),0))),2,10+(12*(TDSelected!$D$4-1)))</f>
        <v>390</v>
      </c>
      <c r="N14" s="649">
        <f ca="1">INDEX(INDIRECT(INDEX(INDIRECT(TDWLANModule!$C$1),MATCH(TDSelected!$C$13,INDIRECT(TDWLANModule!$B$1),0))),2,11+(12*(TDSelected!$D$4-1)))</f>
        <v>22</v>
      </c>
      <c r="O14" s="650">
        <f ca="1">INDEX(INDIRECT(INDEX(INDIRECT(TDWLANModule!$C$1),MATCH(TDSelected!$C$13,INDIRECT(TDWLANModule!$B$1),0))),2,12+(12*(TDSelected!$D$4-1)))</f>
        <v>-84</v>
      </c>
      <c r="P14" s="115"/>
      <c r="Q14" s="2"/>
    </row>
    <row r="15" spans="2:19" x14ac:dyDescent="0.2">
      <c r="B15" s="52"/>
      <c r="C15" s="2"/>
      <c r="D15" s="648">
        <f ca="1">$D$30*INDEX(INDIRECT(INDEX(INDIRECT(TDWLANModule!$C$1),MATCH(TDSelected!$C$13,INDIRECT(TDWLANModule!$B$1),0))),3,1+(12*(TDSelected!$D$4-1)))</f>
        <v>65.099999999999994</v>
      </c>
      <c r="E15" s="649">
        <f ca="1">INDEX(INDIRECT(INDEX(INDIRECT(TDWLANModule!$C$1),MATCH(TDSelected!$C$13,INDIRECT(TDWLANModule!$B$1),0))),3,2+(12*(TDSelected!$D$4-1)))</f>
        <v>22</v>
      </c>
      <c r="F15" s="650">
        <f ca="1">INDEX(INDIRECT(INDEX(INDIRECT(TDWLANModule!$C$1),MATCH(TDSelected!$C$13,INDIRECT(TDWLANModule!$B$1),0))),3,3+(12*(TDSelected!$D$4-1)))</f>
        <v>-83</v>
      </c>
      <c r="G15" s="648">
        <f ca="1">$D$30*INDEX(INDIRECT(INDEX(INDIRECT(TDWLANModule!$C$1),MATCH(TDSelected!$C$13,INDIRECT(TDWLANModule!$B$1),0))),3,4+(12*(TDSelected!$D$4-1)))</f>
        <v>135</v>
      </c>
      <c r="H15" s="649">
        <f ca="1">INDEX(INDIRECT(INDEX(INDIRECT(TDWLANModule!$C$1),MATCH(TDSelected!$C$13,INDIRECT(TDWLANModule!$B$1),0))),3,5+(12*(TDSelected!$D$4-1)))</f>
        <v>22</v>
      </c>
      <c r="I15" s="650">
        <f ca="1">INDEX(INDIRECT(INDEX(INDIRECT(TDWLANModule!$C$1),MATCH(TDSelected!$C$13,INDIRECT(TDWLANModule!$B$1),0))),3,6+(12*(TDSelected!$D$4-1)))</f>
        <v>-82</v>
      </c>
      <c r="J15" s="648">
        <f ca="1">$D$30*INDEX(INDIRECT(INDEX(INDIRECT(TDWLANModule!$C$1),MATCH(TDSelected!$C$13,INDIRECT(TDWLANModule!$B$1),0))),3,7+(12*(TDSelected!$D$4-1)))</f>
        <v>292.5</v>
      </c>
      <c r="K15" s="649">
        <f ca="1">INDEX(INDIRECT(INDEX(INDIRECT(TDWLANModule!$C$1),MATCH(TDSelected!$C$13,INDIRECT(TDWLANModule!$B$1),0))),3,8+(12*(TDSelected!$D$4-1)))</f>
        <v>22</v>
      </c>
      <c r="L15" s="650">
        <f ca="1">INDEX(INDIRECT(INDEX(INDIRECT(TDWLANModule!$C$1),MATCH(TDSelected!$C$13,INDIRECT(TDWLANModule!$B$1),0))),3,9+(12*(TDSelected!$D$4-1)))</f>
        <v>-85</v>
      </c>
      <c r="M15" s="648">
        <f ca="1">$D$30*INDEX(INDIRECT(INDEX(INDIRECT(TDWLANModule!$C$1),MATCH(TDSelected!$C$13,INDIRECT(TDWLANModule!$B$1),0))),3,10+(12*(TDSelected!$D$4-1)))</f>
        <v>585</v>
      </c>
      <c r="N15" s="649">
        <f ca="1">INDEX(INDIRECT(INDEX(INDIRECT(TDWLANModule!$C$1),MATCH(TDSelected!$C$13,INDIRECT(TDWLANModule!$B$1),0))),3,11+(12*(TDSelected!$D$4-1)))</f>
        <v>21</v>
      </c>
      <c r="O15" s="650">
        <f ca="1">INDEX(INDIRECT(INDEX(INDIRECT(TDWLANModule!$C$1),MATCH(TDSelected!$C$13,INDIRECT(TDWLANModule!$B$1),0))),3,12+(12*(TDSelected!$D$4-1)))</f>
        <v>-83</v>
      </c>
      <c r="P15" s="115"/>
      <c r="Q15" s="2"/>
      <c r="S15" s="2"/>
    </row>
    <row r="16" spans="2:19" x14ac:dyDescent="0.2">
      <c r="B16" s="52"/>
      <c r="C16" s="2"/>
      <c r="D16" s="648">
        <f ca="1">$D$30*INDEX(INDIRECT(INDEX(INDIRECT(TDWLANModule!$C$1),MATCH(TDSelected!$C$13,INDIRECT(TDWLANModule!$B$1),0))),4,1+(12*(TDSelected!$D$4-1)))</f>
        <v>86.699999999999989</v>
      </c>
      <c r="E16" s="649">
        <f ca="1">INDEX(INDIRECT(INDEX(INDIRECT(TDWLANModule!$C$1),MATCH(TDSelected!$C$13,INDIRECT(TDWLANModule!$B$1),0))),4,2+(12*(TDSelected!$D$4-1)))</f>
        <v>22</v>
      </c>
      <c r="F16" s="650">
        <f ca="1">INDEX(INDIRECT(INDEX(INDIRECT(TDWLANModule!$C$1),MATCH(TDSelected!$C$13,INDIRECT(TDWLANModule!$B$1),0))),4,3+(12*(TDSelected!$D$4-1)))</f>
        <v>-79</v>
      </c>
      <c r="G16" s="648">
        <f ca="1">$D$30*INDEX(INDIRECT(INDEX(INDIRECT(TDWLANModule!$C$1),MATCH(TDSelected!$C$13,INDIRECT(TDWLANModule!$B$1),0))),4,4+(12*(TDSelected!$D$4-1)))</f>
        <v>180</v>
      </c>
      <c r="H16" s="649">
        <f ca="1">INDEX(INDIRECT(INDEX(INDIRECT(TDWLANModule!$C$1),MATCH(TDSelected!$C$13,INDIRECT(TDWLANModule!$B$1),0))),4,5+(12*(TDSelected!$D$4-1)))</f>
        <v>22</v>
      </c>
      <c r="I16" s="650">
        <f ca="1">INDEX(INDIRECT(INDEX(INDIRECT(TDWLANModule!$C$1),MATCH(TDSelected!$C$13,INDIRECT(TDWLANModule!$B$1),0))),4,6+(12*(TDSelected!$D$4-1)))</f>
        <v>-78</v>
      </c>
      <c r="J16" s="648">
        <f ca="1">$D$30*INDEX(INDIRECT(INDEX(INDIRECT(TDWLANModule!$C$1),MATCH(TDSelected!$C$13,INDIRECT(TDWLANModule!$B$1),0))),4,7+(12*(TDSelected!$D$4-1)))</f>
        <v>390</v>
      </c>
      <c r="K16" s="649">
        <f ca="1">INDEX(INDIRECT(INDEX(INDIRECT(TDWLANModule!$C$1),MATCH(TDSelected!$C$13,INDIRECT(TDWLANModule!$B$1),0))),4,8+(12*(TDSelected!$D$4-1)))</f>
        <v>22</v>
      </c>
      <c r="L16" s="650">
        <f ca="1">INDEX(INDIRECT(INDEX(INDIRECT(TDWLANModule!$C$1),MATCH(TDSelected!$C$13,INDIRECT(TDWLANModule!$B$1),0))),4,9+(12*(TDSelected!$D$4-1)))</f>
        <v>-81</v>
      </c>
      <c r="M16" s="648">
        <f ca="1">$D$30*INDEX(INDIRECT(INDEX(INDIRECT(TDWLANModule!$C$1),MATCH(TDSelected!$C$13,INDIRECT(TDWLANModule!$B$1),0))),4,10+(12*(TDSelected!$D$4-1)))</f>
        <v>780</v>
      </c>
      <c r="N16" s="649">
        <f ca="1">INDEX(INDIRECT(INDEX(INDIRECT(TDWLANModule!$C$1),MATCH(TDSelected!$C$13,INDIRECT(TDWLANModule!$B$1),0))),4,11+(12*(TDSelected!$D$4-1)))</f>
        <v>21</v>
      </c>
      <c r="O16" s="650">
        <f ca="1">INDEX(INDIRECT(INDEX(INDIRECT(TDWLANModule!$C$1),MATCH(TDSelected!$C$13,INDIRECT(TDWLANModule!$B$1),0))),4,12+(12*(TDSelected!$D$4-1)))</f>
        <v>-79</v>
      </c>
      <c r="P16" s="115"/>
      <c r="Q16" s="2"/>
    </row>
    <row r="17" spans="2:19" x14ac:dyDescent="0.2">
      <c r="B17" s="52"/>
      <c r="C17" s="2"/>
      <c r="D17" s="648">
        <f ca="1">$D$30*INDEX(INDIRECT(INDEX(INDIRECT(TDWLANModule!$C$1),MATCH(TDSelected!$C$13,INDIRECT(TDWLANModule!$B$1),0))),5,1+(12*(TDSelected!$D$4-1)))</f>
        <v>129.89999999999998</v>
      </c>
      <c r="E17" s="649">
        <f ca="1">INDEX(INDIRECT(INDEX(INDIRECT(TDWLANModule!$C$1),MATCH(TDSelected!$C$13,INDIRECT(TDWLANModule!$B$1),0))),5,2+(12*(TDSelected!$D$4-1)))</f>
        <v>21</v>
      </c>
      <c r="F17" s="650">
        <f ca="1">INDEX(INDIRECT(INDEX(INDIRECT(TDWLANModule!$C$1),MATCH(TDSelected!$C$13,INDIRECT(TDWLANModule!$B$1),0))),5,3+(12*(TDSelected!$D$4-1)))</f>
        <v>-75</v>
      </c>
      <c r="G17" s="648">
        <f ca="1">$D$30*INDEX(INDIRECT(INDEX(INDIRECT(TDWLANModule!$C$1),MATCH(TDSelected!$C$13,INDIRECT(TDWLANModule!$B$1),0))),5,4+(12*(TDSelected!$D$4-1)))</f>
        <v>270</v>
      </c>
      <c r="H17" s="649">
        <f ca="1">INDEX(INDIRECT(INDEX(INDIRECT(TDWLANModule!$C$1),MATCH(TDSelected!$C$13,INDIRECT(TDWLANModule!$B$1),0))),5,5+(12*(TDSelected!$D$4-1)))</f>
        <v>21</v>
      </c>
      <c r="I17" s="650">
        <f ca="1">INDEX(INDIRECT(INDEX(INDIRECT(TDWLANModule!$C$1),MATCH(TDSelected!$C$13,INDIRECT(TDWLANModule!$B$1),0))),5,6+(12*(TDSelected!$D$4-1)))</f>
        <v>-77</v>
      </c>
      <c r="J17" s="648">
        <f ca="1">$D$30*INDEX(INDIRECT(INDEX(INDIRECT(TDWLANModule!$C$1),MATCH(TDSelected!$C$13,INDIRECT(TDWLANModule!$B$1),0))),5,7+(12*(TDSelected!$D$4-1)))</f>
        <v>585</v>
      </c>
      <c r="K17" s="649">
        <f ca="1">INDEX(INDIRECT(INDEX(INDIRECT(TDWLANModule!$C$1),MATCH(TDSelected!$C$13,INDIRECT(TDWLANModule!$B$1),0))),5,8+(12*(TDSelected!$D$4-1)))</f>
        <v>21</v>
      </c>
      <c r="L17" s="650">
        <f ca="1">INDEX(INDIRECT(INDEX(INDIRECT(TDWLANModule!$C$1),MATCH(TDSelected!$C$13,INDIRECT(TDWLANModule!$B$1),0))),5,9+(12*(TDSelected!$D$4-1)))</f>
        <v>-79</v>
      </c>
      <c r="M17" s="648">
        <f ca="1">$D$30*INDEX(INDIRECT(INDEX(INDIRECT(TDWLANModule!$C$1),MATCH(TDSelected!$C$13,INDIRECT(TDWLANModule!$B$1),0))),5,10+(12*(TDSelected!$D$4-1)))</f>
        <v>1170</v>
      </c>
      <c r="N17" s="649">
        <f ca="1">INDEX(INDIRECT(INDEX(INDIRECT(TDWLANModule!$C$1),MATCH(TDSelected!$C$13,INDIRECT(TDWLANModule!$B$1),0))),5,11+(12*(TDSelected!$D$4-1)))</f>
        <v>20</v>
      </c>
      <c r="O17" s="650">
        <f ca="1">INDEX(INDIRECT(INDEX(INDIRECT(TDWLANModule!$C$1),MATCH(TDSelected!$C$13,INDIRECT(TDWLANModule!$B$1),0))),5,12+(12*(TDSelected!$D$4-1)))</f>
        <v>-77</v>
      </c>
      <c r="P17" s="115"/>
      <c r="Q17" s="2"/>
    </row>
    <row r="18" spans="2:19" x14ac:dyDescent="0.2">
      <c r="B18" s="52"/>
      <c r="C18" s="2"/>
      <c r="D18" s="648">
        <f ca="1">$D$30*INDEX(INDIRECT(INDEX(INDIRECT(TDWLANModule!$C$1),MATCH(TDSelected!$C$13,INDIRECT(TDWLANModule!$B$1),0))),6,1+(12*(TDSelected!$D$4-1)))</f>
        <v>173.39999999999998</v>
      </c>
      <c r="E18" s="649">
        <f ca="1">INDEX(INDIRECT(INDEX(INDIRECT(TDWLANModule!$C$1),MATCH(TDSelected!$C$13,INDIRECT(TDWLANModule!$B$1),0))),6,2+(12*(TDSelected!$D$4-1)))</f>
        <v>21</v>
      </c>
      <c r="F18" s="650">
        <f ca="1">INDEX(INDIRECT(INDEX(INDIRECT(TDWLANModule!$C$1),MATCH(TDSelected!$C$13,INDIRECT(TDWLANModule!$B$1),0))),6,3+(12*(TDSelected!$D$4-1)))</f>
        <v>-74</v>
      </c>
      <c r="G18" s="648">
        <f ca="1">$D$30*INDEX(INDIRECT(INDEX(INDIRECT(TDWLANModule!$C$1),MATCH(TDSelected!$C$13,INDIRECT(TDWLANModule!$B$1),0))),6,4+(12*(TDSelected!$D$4-1)))</f>
        <v>360</v>
      </c>
      <c r="H18" s="649">
        <f ca="1">INDEX(INDIRECT(INDEX(INDIRECT(TDWLANModule!$C$1),MATCH(TDSelected!$C$13,INDIRECT(TDWLANModule!$B$1),0))),6,5+(12*(TDSelected!$D$4-1)))</f>
        <v>21</v>
      </c>
      <c r="I18" s="650">
        <f ca="1">INDEX(INDIRECT(INDEX(INDIRECT(TDWLANModule!$C$1),MATCH(TDSelected!$C$13,INDIRECT(TDWLANModule!$B$1),0))),6,6+(12*(TDSelected!$D$4-1)))</f>
        <v>-76</v>
      </c>
      <c r="J18" s="648">
        <f ca="1">$D$30*INDEX(INDIRECT(INDEX(INDIRECT(TDWLANModule!$C$1),MATCH(TDSelected!$C$13,INDIRECT(TDWLANModule!$B$1),0))),6,7+(12*(TDSelected!$D$4-1)))</f>
        <v>780</v>
      </c>
      <c r="K18" s="649">
        <f ca="1">INDEX(INDIRECT(INDEX(INDIRECT(TDWLANModule!$C$1),MATCH(TDSelected!$C$13,INDIRECT(TDWLANModule!$B$1),0))),6,8+(12*(TDSelected!$D$4-1)))</f>
        <v>21</v>
      </c>
      <c r="L18" s="650">
        <f ca="1">INDEX(INDIRECT(INDEX(INDIRECT(TDWLANModule!$C$1),MATCH(TDSelected!$C$13,INDIRECT(TDWLANModule!$B$1),0))),6,9+(12*(TDSelected!$D$4-1)))</f>
        <v>-75</v>
      </c>
      <c r="M18" s="648">
        <f ca="1">$D$30*INDEX(INDIRECT(INDEX(INDIRECT(TDWLANModule!$C$1),MATCH(TDSelected!$C$13,INDIRECT(TDWLANModule!$B$1),0))),6,10+(12*(TDSelected!$D$4-1)))</f>
        <v>1560</v>
      </c>
      <c r="N18" s="649">
        <f ca="1">INDEX(INDIRECT(INDEX(INDIRECT(TDWLANModule!$C$1),MATCH(TDSelected!$C$13,INDIRECT(TDWLANModule!$B$1),0))),6,11+(12*(TDSelected!$D$4-1)))</f>
        <v>20</v>
      </c>
      <c r="O18" s="650">
        <f ca="1">INDEX(INDIRECT(INDEX(INDIRECT(TDWLANModule!$C$1),MATCH(TDSelected!$C$13,INDIRECT(TDWLANModule!$B$1),0))),6,12+(12*(TDSelected!$D$4-1)))</f>
        <v>-72</v>
      </c>
      <c r="P18" s="115"/>
      <c r="Q18" s="2"/>
    </row>
    <row r="19" spans="2:19" x14ac:dyDescent="0.2">
      <c r="B19" s="52"/>
      <c r="C19" s="2"/>
      <c r="D19" s="648">
        <f ca="1">$D$30*INDEX(INDIRECT(INDEX(INDIRECT(TDWLANModule!$C$1),MATCH(TDSelected!$C$13,INDIRECT(TDWLANModule!$B$1),0))),7,1+(12*(TDSelected!$D$4-1)))</f>
        <v>195</v>
      </c>
      <c r="E19" s="649">
        <f ca="1">INDEX(INDIRECT(INDEX(INDIRECT(TDWLANModule!$C$1),MATCH(TDSelected!$C$13,INDIRECT(TDWLANModule!$B$1),0))),7,2+(12*(TDSelected!$D$4-1)))</f>
        <v>20</v>
      </c>
      <c r="F19" s="650">
        <f ca="1">INDEX(INDIRECT(INDEX(INDIRECT(TDWLANModule!$C$1),MATCH(TDSelected!$C$13,INDIRECT(TDWLANModule!$B$1),0))),7,3+(12*(TDSelected!$D$4-1)))</f>
        <v>-73</v>
      </c>
      <c r="G19" s="648">
        <f ca="1">$D$30*INDEX(INDIRECT(INDEX(INDIRECT(TDWLANModule!$C$1),MATCH(TDSelected!$C$13,INDIRECT(TDWLANModule!$B$1),0))),7,4+(12*(TDSelected!$D$4-1)))</f>
        <v>405</v>
      </c>
      <c r="H19" s="649">
        <f ca="1">INDEX(INDIRECT(INDEX(INDIRECT(TDWLANModule!$C$1),MATCH(TDSelected!$C$13,INDIRECT(TDWLANModule!$B$1),0))),7,5+(12*(TDSelected!$D$4-1)))</f>
        <v>20</v>
      </c>
      <c r="I19" s="650">
        <f ca="1">INDEX(INDIRECT(INDEX(INDIRECT(TDWLANModule!$C$1),MATCH(TDSelected!$C$13,INDIRECT(TDWLANModule!$B$1),0))),7,6+(12*(TDSelected!$D$4-1)))</f>
        <v>-75</v>
      </c>
      <c r="J19" s="648">
        <f ca="1">$D$30*INDEX(INDIRECT(INDEX(INDIRECT(TDWLANModule!$C$1),MATCH(TDSelected!$C$13,INDIRECT(TDWLANModule!$B$1),0))),7,7+(12*(TDSelected!$D$4-1)))</f>
        <v>877.5</v>
      </c>
      <c r="K19" s="649">
        <f ca="1">INDEX(INDIRECT(INDEX(INDIRECT(TDWLANModule!$C$1),MATCH(TDSelected!$C$13,INDIRECT(TDWLANModule!$B$1),0))),7,8+(12*(TDSelected!$D$4-1)))</f>
        <v>20</v>
      </c>
      <c r="L19" s="650">
        <f ca="1">INDEX(INDIRECT(INDEX(INDIRECT(TDWLANModule!$C$1),MATCH(TDSelected!$C$13,INDIRECT(TDWLANModule!$B$1),0))),7,9+(12*(TDSelected!$D$4-1)))</f>
        <v>-73</v>
      </c>
      <c r="M19" s="648">
        <f ca="1">$D$30*INDEX(INDIRECT(INDEX(INDIRECT(TDWLANModule!$C$1),MATCH(TDSelected!$C$13,INDIRECT(TDWLANModule!$B$1),0))),7,10+(12*(TDSelected!$D$4-1)))</f>
        <v>1755</v>
      </c>
      <c r="N19" s="649">
        <f ca="1">INDEX(INDIRECT(INDEX(INDIRECT(TDWLANModule!$C$1),MATCH(TDSelected!$C$13,INDIRECT(TDWLANModule!$B$1),0))),7,11+(12*(TDSelected!$D$4-1)))</f>
        <v>19</v>
      </c>
      <c r="O19" s="650">
        <f ca="1">INDEX(INDIRECT(INDEX(INDIRECT(TDWLANModule!$C$1),MATCH(TDSelected!$C$13,INDIRECT(TDWLANModule!$B$1),0))),7,12+(12*(TDSelected!$D$4-1)))</f>
        <v>-71</v>
      </c>
      <c r="P19" s="115"/>
      <c r="Q19" s="2"/>
    </row>
    <row r="20" spans="2:19" x14ac:dyDescent="0.2">
      <c r="B20" s="52"/>
      <c r="C20" s="2"/>
      <c r="D20" s="648">
        <f ca="1">$D$30*INDEX(INDIRECT(INDEX(INDIRECT(TDWLANModule!$C$1),MATCH(TDSelected!$C$13,INDIRECT(TDWLANModule!$B$1),0))),8,1+(12*(TDSelected!$D$4-1)))</f>
        <v>216.60000000000002</v>
      </c>
      <c r="E20" s="649">
        <f ca="1">INDEX(INDIRECT(INDEX(INDIRECT(TDWLANModule!$C$1),MATCH(TDSelected!$C$13,INDIRECT(TDWLANModule!$B$1),0))),8,2+(12*(TDSelected!$D$4-1)))</f>
        <v>20</v>
      </c>
      <c r="F20" s="650">
        <f ca="1">INDEX(INDIRECT(INDEX(INDIRECT(TDWLANModule!$C$1),MATCH(TDSelected!$C$13,INDIRECT(TDWLANModule!$B$1),0))),8,3+(12*(TDSelected!$D$4-1)))</f>
        <v>-71</v>
      </c>
      <c r="G20" s="648">
        <f ca="1">$D$30*INDEX(INDIRECT(INDEX(INDIRECT(TDWLANModule!$C$1),MATCH(TDSelected!$C$13,INDIRECT(TDWLANModule!$B$1),0))),8,4+(12*(TDSelected!$D$4-1)))</f>
        <v>450</v>
      </c>
      <c r="H20" s="649">
        <f ca="1">INDEX(INDIRECT(INDEX(INDIRECT(TDWLANModule!$C$1),MATCH(TDSelected!$C$13,INDIRECT(TDWLANModule!$B$1),0))),8,5+(12*(TDSelected!$D$4-1)))</f>
        <v>20</v>
      </c>
      <c r="I20" s="650">
        <f ca="1">INDEX(INDIRECT(INDEX(INDIRECT(TDWLANModule!$C$1),MATCH(TDSelected!$C$13,INDIRECT(TDWLANModule!$B$1),0))),8,6+(12*(TDSelected!$D$4-1)))</f>
        <v>-71</v>
      </c>
      <c r="J20" s="648">
        <f ca="1">$D$30*INDEX(INDIRECT(INDEX(INDIRECT(TDWLANModule!$C$1),MATCH(TDSelected!$C$13,INDIRECT(TDWLANModule!$B$1),0))),8,7+(12*(TDSelected!$D$4-1)))</f>
        <v>975</v>
      </c>
      <c r="K20" s="649">
        <f ca="1">INDEX(INDIRECT(INDEX(INDIRECT(TDWLANModule!$C$1),MATCH(TDSelected!$C$13,INDIRECT(TDWLANModule!$B$1),0))),8,8+(12*(TDSelected!$D$4-1)))</f>
        <v>20</v>
      </c>
      <c r="L20" s="650">
        <f ca="1">INDEX(INDIRECT(INDEX(INDIRECT(TDWLANModule!$C$1),MATCH(TDSelected!$C$13,INDIRECT(TDWLANModule!$B$1),0))),8,9+(12*(TDSelected!$D$4-1)))</f>
        <v>-72</v>
      </c>
      <c r="M20" s="648">
        <f ca="1">$D$30*INDEX(INDIRECT(INDEX(INDIRECT(TDWLANModule!$C$1),MATCH(TDSelected!$C$13,INDIRECT(TDWLANModule!$B$1),0))),8,10+(12*(TDSelected!$D$4-1)))</f>
        <v>1950</v>
      </c>
      <c r="N20" s="649">
        <f ca="1">INDEX(INDIRECT(INDEX(INDIRECT(TDWLANModule!$C$1),MATCH(TDSelected!$C$13,INDIRECT(TDWLANModule!$B$1),0))),8,11+(12*(TDSelected!$D$4-1)))</f>
        <v>19</v>
      </c>
      <c r="O20" s="650">
        <f ca="1">INDEX(INDIRECT(INDEX(INDIRECT(TDWLANModule!$C$1),MATCH(TDSelected!$C$13,INDIRECT(TDWLANModule!$B$1),0))),8,12+(12*(TDSelected!$D$4-1)))</f>
        <v>-69</v>
      </c>
      <c r="P20" s="115"/>
      <c r="Q20" s="2"/>
    </row>
    <row r="21" spans="2:19" x14ac:dyDescent="0.2">
      <c r="B21" s="52"/>
      <c r="C21" s="2"/>
      <c r="D21" s="648">
        <f ca="1">$D$30*INDEX(INDIRECT(INDEX(INDIRECT(TDWLANModule!$C$1),MATCH(TDSelected!$C$13,INDIRECT(TDWLANModule!$B$1),0))),9,1+(12*(TDSelected!$D$4-1)))</f>
        <v>0</v>
      </c>
      <c r="E21" s="649">
        <f ca="1">INDEX(INDIRECT(INDEX(INDIRECT(TDWLANModule!$C$1),MATCH(TDSelected!$C$13,INDIRECT(TDWLANModule!$B$1),0))),9,2+(12*(TDSelected!$D$4-1)))</f>
        <v>0</v>
      </c>
      <c r="F21" s="650">
        <f ca="1">INDEX(INDIRECT(INDEX(INDIRECT(TDWLANModule!$C$1),MATCH(TDSelected!$C$13,INDIRECT(TDWLANModule!$B$1),0))),9,3+(12*(TDSelected!$D$4-1)))</f>
        <v>0</v>
      </c>
      <c r="G21" s="648">
        <f ca="1">$D$30*INDEX(INDIRECT(INDEX(INDIRECT(TDWLANModule!$C$1),MATCH(TDSelected!$C$13,INDIRECT(TDWLANModule!$B$1),0))),9,4+(12*(TDSelected!$D$4-1)))</f>
        <v>0</v>
      </c>
      <c r="H21" s="649">
        <f ca="1">INDEX(INDIRECT(INDEX(INDIRECT(TDWLANModule!$C$1),MATCH(TDSelected!$C$13,INDIRECT(TDWLANModule!$B$1),0))),9,5+(12*(TDSelected!$D$4-1)))</f>
        <v>0</v>
      </c>
      <c r="I21" s="650">
        <f ca="1">INDEX(INDIRECT(INDEX(INDIRECT(TDWLANModule!$C$1),MATCH(TDSelected!$C$13,INDIRECT(TDWLANModule!$B$1),0))),9,6+(12*(TDSelected!$D$4-1)))</f>
        <v>0</v>
      </c>
      <c r="J21" s="648">
        <f ca="1">$D$30*INDEX(INDIRECT(INDEX(INDIRECT(TDWLANModule!$C$1),MATCH(TDSelected!$C$13,INDIRECT(TDWLANModule!$B$1),0))),9,7+(12*(TDSelected!$D$4-1)))</f>
        <v>1170</v>
      </c>
      <c r="K21" s="649">
        <f ca="1">INDEX(INDIRECT(INDEX(INDIRECT(TDWLANModule!$C$1),MATCH(TDSelected!$C$13,INDIRECT(TDWLANModule!$B$1),0))),9,8+(12*(TDSelected!$D$4-1)))</f>
        <v>19</v>
      </c>
      <c r="L21" s="650">
        <f ca="1">INDEX(INDIRECT(INDEX(INDIRECT(TDWLANModule!$C$1),MATCH(TDSelected!$C$13,INDIRECT(TDWLANModule!$B$1),0))),9,9+(12*(TDSelected!$D$4-1)))</f>
        <v>-68</v>
      </c>
      <c r="M21" s="648">
        <f ca="1">$D$30*INDEX(INDIRECT(INDEX(INDIRECT(TDWLANModule!$C$1),MATCH(TDSelected!$C$13,INDIRECT(TDWLANModule!$B$1),0))),9,10+(12*(TDSelected!$D$4-1)))</f>
        <v>2340</v>
      </c>
      <c r="N21" s="649">
        <f ca="1">INDEX(INDIRECT(INDEX(INDIRECT(TDWLANModule!$C$1),MATCH(TDSelected!$C$13,INDIRECT(TDWLANModule!$B$1),0))),9,11+(12*(TDSelected!$D$4-1)))</f>
        <v>18</v>
      </c>
      <c r="O21" s="650">
        <f ca="1">INDEX(INDIRECT(INDEX(INDIRECT(TDWLANModule!$C$1),MATCH(TDSelected!$C$13,INDIRECT(TDWLANModule!$B$1),0))),9,12+(12*(TDSelected!$D$4-1)))</f>
        <v>-65</v>
      </c>
      <c r="P21" s="115"/>
      <c r="Q21" s="2"/>
    </row>
    <row r="22" spans="2:19" x14ac:dyDescent="0.2">
      <c r="B22" s="52"/>
      <c r="C22" s="2"/>
      <c r="D22" s="648">
        <f ca="1">$D$30*INDEX(INDIRECT(INDEX(INDIRECT(TDWLANModule!$C$1),MATCH(TDSelected!$C$13,INDIRECT(TDWLANModule!$B$1),0))),10,1+(12*(TDSelected!$D$4-1)))</f>
        <v>0</v>
      </c>
      <c r="E22" s="649">
        <f ca="1">INDEX(INDIRECT(INDEX(INDIRECT(TDWLANModule!$C$1),MATCH(TDSelected!$C$13,INDIRECT(TDWLANModule!$B$1),0))),10,2+(12*(TDSelected!$D$4-1)))</f>
        <v>0</v>
      </c>
      <c r="F22" s="650">
        <f ca="1">INDEX(INDIRECT(INDEX(INDIRECT(TDWLANModule!$C$1),MATCH(TDSelected!$C$13,INDIRECT(TDWLANModule!$B$1),0))),10,3+(12*(TDSelected!$D$4-1)))</f>
        <v>0</v>
      </c>
      <c r="G22" s="648">
        <f ca="1">$D$30*INDEX(INDIRECT(INDEX(INDIRECT(TDWLANModule!$C$1),MATCH(TDSelected!$C$13,INDIRECT(TDWLANModule!$B$1),0))),10,4+(12*(TDSelected!$D$4-1)))</f>
        <v>0</v>
      </c>
      <c r="H22" s="649">
        <f ca="1">INDEX(INDIRECT(INDEX(INDIRECT(TDWLANModule!$C$1),MATCH(TDSelected!$C$13,INDIRECT(TDWLANModule!$B$1),0))),10,5+(12*(TDSelected!$D$4-1)))</f>
        <v>0</v>
      </c>
      <c r="I22" s="650">
        <f ca="1">INDEX(INDIRECT(INDEX(INDIRECT(TDWLANModule!$C$1),MATCH(TDSelected!$C$13,INDIRECT(TDWLANModule!$B$1),0))),10,6+(12*(TDSelected!$D$4-1)))</f>
        <v>0</v>
      </c>
      <c r="J22" s="648">
        <f ca="1">$D$30*INDEX(INDIRECT(INDEX(INDIRECT(TDWLANModule!$C$1),MATCH(TDSelected!$C$13,INDIRECT(TDWLANModule!$B$1),0))),10,7+(12*(TDSelected!$D$4-1)))</f>
        <v>1299.9000000000001</v>
      </c>
      <c r="K22" s="649">
        <f ca="1">INDEX(INDIRECT(INDEX(INDIRECT(TDWLANModule!$C$1),MATCH(TDSelected!$C$13,INDIRECT(TDWLANModule!$B$1),0))),10,8+(12*(TDSelected!$D$4-1)))</f>
        <v>18</v>
      </c>
      <c r="L22" s="650">
        <f ca="1">INDEX(INDIRECT(INDEX(INDIRECT(TDWLANModule!$C$1),MATCH(TDSelected!$C$13,INDIRECT(TDWLANModule!$B$1),0))),10,9+(12*(TDSelected!$D$4-1)))</f>
        <v>-67</v>
      </c>
      <c r="M22" s="648">
        <f ca="1">$D$30*INDEX(INDIRECT(INDEX(INDIRECT(TDWLANModule!$C$1),MATCH(TDSelected!$C$13,INDIRECT(TDWLANModule!$B$1),0))),10,10+(12*(TDSelected!$D$4-1)))</f>
        <v>2600.1000000000004</v>
      </c>
      <c r="N22" s="649">
        <f ca="1">INDEX(INDIRECT(INDEX(INDIRECT(TDWLANModule!$C$1),MATCH(TDSelected!$C$13,INDIRECT(TDWLANModule!$B$1),0))),10,11+(12*(TDSelected!$D$4-1)))</f>
        <v>17</v>
      </c>
      <c r="O22" s="650">
        <f ca="1">INDEX(INDIRECT(INDEX(INDIRECT(TDWLANModule!$C$1),MATCH(TDSelected!$C$13,INDIRECT(TDWLANModule!$B$1),0))),10,12+(12*(TDSelected!$D$4-1)))</f>
        <v>-64</v>
      </c>
      <c r="P22" s="115"/>
      <c r="Q22" s="2"/>
      <c r="S22" s="743"/>
    </row>
    <row r="23" spans="2:19" ht="10.5" thickBot="1" x14ac:dyDescent="0.25">
      <c r="B23" s="52"/>
      <c r="C23" s="2"/>
      <c r="D23" s="651">
        <f ca="1">$D$30*INDEX(INDIRECT(INDEX(INDIRECT(TDWLANModule!$C$1),MATCH(TDSelected!$C$13,INDIRECT(TDWLANModule!$B$1),0))),11,1+(12*(TDSelected!$D$4-1)))</f>
        <v>0</v>
      </c>
      <c r="E23" s="652">
        <f ca="1">INDEX(INDIRECT(INDEX(INDIRECT(TDWLANModule!$C$1),MATCH(TDSelected!$C$13,INDIRECT(TDWLANModule!$B$1),0))),11,2+(12*(TDSelected!$D$4-1)))</f>
        <v>0</v>
      </c>
      <c r="F23" s="653">
        <f ca="1">INDEX(INDIRECT(INDEX(INDIRECT(TDWLANModule!$C$1),MATCH(TDSelected!$C$13,INDIRECT(TDWLANModule!$B$1),0))),11,3+(12*(TDSelected!$D$4-1)))</f>
        <v>0</v>
      </c>
      <c r="G23" s="651">
        <f ca="1">$D$30*INDEX(INDIRECT(INDEX(INDIRECT(TDWLANModule!$C$1),MATCH(TDSelected!$C$13,INDIRECT(TDWLANModule!$B$1),0))),11,4+(12*(TDSelected!$D$4-1)))</f>
        <v>0</v>
      </c>
      <c r="H23" s="652">
        <f ca="1">INDEX(INDIRECT(INDEX(INDIRECT(TDWLANModule!$C$1),MATCH(TDSelected!$C$13,INDIRECT(TDWLANModule!$B$1),0))),11,5+(12*(TDSelected!$D$4-1)))</f>
        <v>0</v>
      </c>
      <c r="I23" s="653">
        <f ca="1">INDEX(INDIRECT(INDEX(INDIRECT(TDWLANModule!$C$1),MATCH(TDSelected!$C$13,INDIRECT(TDWLANModule!$B$1),0))),11,6+(12*(TDSelected!$D$4-1)))</f>
        <v>0</v>
      </c>
      <c r="J23" s="651">
        <f ca="1">$D$30*INDEX(INDIRECT(INDEX(INDIRECT(TDWLANModule!$C$1),MATCH(TDSelected!$C$13,INDIRECT(TDWLANModule!$B$1),0))),11,7+(12*(TDSelected!$D$4-1)))</f>
        <v>0</v>
      </c>
      <c r="K23" s="652">
        <f ca="1">INDEX(INDIRECT(INDEX(INDIRECT(TDWLANModule!$C$1),MATCH(TDSelected!$C$13,INDIRECT(TDWLANModule!$B$1),0))),11,8+(12*(TDSelected!$D$4-1)))</f>
        <v>0</v>
      </c>
      <c r="L23" s="653">
        <f ca="1">INDEX(INDIRECT(INDEX(INDIRECT(TDWLANModule!$C$1),MATCH(TDSelected!$C$13,INDIRECT(TDWLANModule!$B$1),0))),11,9+(12*(TDSelected!$D$4-1)))</f>
        <v>0</v>
      </c>
      <c r="M23" s="651">
        <f ca="1">$D$30*INDEX(INDIRECT(INDEX(INDIRECT(TDWLANModule!$C$1),MATCH(TDSelected!$C$13,INDIRECT(TDWLANModule!$B$1),0))),11,10+(12*(TDSelected!$D$4-1)))</f>
        <v>0</v>
      </c>
      <c r="N23" s="652">
        <f ca="1">INDEX(INDIRECT(INDEX(INDIRECT(TDWLANModule!$C$1),MATCH(TDSelected!$C$13,INDIRECT(TDWLANModule!$B$1),0))),11,11+(12*(TDSelected!$D$4-1)))</f>
        <v>0</v>
      </c>
      <c r="O23" s="653">
        <f ca="1">INDEX(INDIRECT(INDEX(INDIRECT(TDWLANModule!$C$1),MATCH(TDSelected!$C$13,INDIRECT(TDWLANModule!$B$1),0))),11,12+(12*(TDSelected!$D$4-1)))</f>
        <v>0</v>
      </c>
      <c r="P23" s="115"/>
      <c r="Q23" s="2"/>
    </row>
    <row r="24" spans="2:19" x14ac:dyDescent="0.2">
      <c r="B24" s="52"/>
      <c r="C24" s="24"/>
      <c r="D24" s="24"/>
      <c r="E24" s="24"/>
      <c r="F24" s="24"/>
      <c r="G24" s="24"/>
      <c r="H24" s="2"/>
      <c r="I24" s="2"/>
      <c r="J24" s="24"/>
      <c r="K24" s="24"/>
      <c r="L24" s="24"/>
      <c r="M24" s="24"/>
      <c r="N24" s="24"/>
      <c r="O24" s="24"/>
      <c r="P24" s="115"/>
      <c r="Q24" s="2"/>
    </row>
    <row r="25" spans="2:19" ht="10.5" x14ac:dyDescent="0.25">
      <c r="B25" s="52"/>
      <c r="C25" s="58" t="s">
        <v>21</v>
      </c>
      <c r="D25" s="59" t="s">
        <v>49</v>
      </c>
      <c r="E25" s="59"/>
      <c r="F25" s="59" t="s">
        <v>22</v>
      </c>
      <c r="G25" s="59" t="s">
        <v>49</v>
      </c>
      <c r="H25" s="59"/>
      <c r="I25" s="59"/>
      <c r="J25" s="464"/>
      <c r="K25" s="464"/>
      <c r="L25" s="464"/>
      <c r="M25" s="464"/>
      <c r="N25" s="464"/>
      <c r="O25" s="464"/>
      <c r="P25" s="53"/>
      <c r="Q25" s="2"/>
    </row>
    <row r="26" spans="2:19" x14ac:dyDescent="0.2">
      <c r="B26" s="52"/>
      <c r="C26" s="65" t="str">
        <f ca="1">IF(SelectionTables!I4="",LanguageTable!B4,SelectionTables!I4)</f>
        <v>AirLancer Cable NJ-NP 3m</v>
      </c>
      <c r="D26" s="137">
        <f ca="1">ABS(IF(C26=LanguageTable!B5,INDEX(INDIRECT(TDCable!C4),1,TDSelected!H4),INDEX(INDIRECT(TDCable!C5),MATCH(TDSelected!C26,INDIRECT(TDCable!B5),0),TDSelected!H4)))</f>
        <v>4.5</v>
      </c>
      <c r="E26" s="2" t="s">
        <v>5</v>
      </c>
      <c r="F26" s="65" t="str">
        <f ca="1">IF(SelectionTables!M4="",LanguageTable!B4,SelectionTables!M4)</f>
        <v>No cable</v>
      </c>
      <c r="G26" s="137">
        <f ca="1">ABS(IF(F26=LanguageTable!B5,INDEX(INDIRECT(TDCable!C4),2,H4),INDEX(INDIRECT(TDCable!C5),MATCH(F26,INDIRECT(TDCable!B5),0),H4)))</f>
        <v>0</v>
      </c>
      <c r="H26" s="24" t="s">
        <v>5</v>
      </c>
      <c r="I26" s="24"/>
      <c r="J26" s="24"/>
      <c r="K26" s="24"/>
      <c r="L26" s="24"/>
      <c r="M26" s="24"/>
      <c r="N26" s="24"/>
      <c r="O26" s="24"/>
      <c r="P26" s="53"/>
      <c r="Q26" s="2"/>
    </row>
    <row r="27" spans="2:19" x14ac:dyDescent="0.2">
      <c r="B27" s="52"/>
      <c r="C27" s="2"/>
      <c r="D27" s="2"/>
      <c r="E27" s="2"/>
      <c r="F27" s="2"/>
      <c r="G27" s="2"/>
      <c r="H27" s="2"/>
      <c r="I27" s="2"/>
      <c r="J27" s="24"/>
      <c r="K27" s="24"/>
      <c r="L27" s="24"/>
      <c r="M27" s="24"/>
      <c r="N27" s="24"/>
      <c r="O27" s="24"/>
      <c r="P27" s="53"/>
      <c r="Q27" s="2"/>
    </row>
    <row r="28" spans="2:19" ht="10.5" x14ac:dyDescent="0.25">
      <c r="B28" s="52"/>
      <c r="C28" s="58" t="s">
        <v>19</v>
      </c>
      <c r="D28" s="58" t="s">
        <v>51</v>
      </c>
      <c r="E28" s="2"/>
      <c r="F28" s="58" t="s">
        <v>20</v>
      </c>
      <c r="G28" s="58" t="s">
        <v>49</v>
      </c>
      <c r="H28" s="58"/>
      <c r="I28" s="58"/>
      <c r="J28" s="75"/>
      <c r="K28" s="75"/>
      <c r="L28" s="75"/>
      <c r="M28" s="75"/>
      <c r="N28" s="75"/>
      <c r="O28" s="75"/>
      <c r="P28" s="53"/>
      <c r="Q28" s="2"/>
    </row>
    <row r="29" spans="2:19" x14ac:dyDescent="0.2">
      <c r="B29" s="52"/>
      <c r="C29" s="65" t="str">
        <f ca="1">IF(SelectionTables!J4="",LanguageTable!B2,SelectionTables!J4)</f>
        <v>AirLancer ON-T60ag</v>
      </c>
      <c r="D29" s="137">
        <f ca="1">ABS(INDEX(INDIRECT(TDAntenna!C5),MATCH(TDSelected!C29,INDIRECT(TDAntenna!B5),0),TDSelected!H4))</f>
        <v>8</v>
      </c>
      <c r="E29" s="2" t="s">
        <v>5</v>
      </c>
      <c r="F29" s="65" t="str">
        <f ca="1">IF(SelectionTables!K4="",LanguageTable!B6,SelectionTables!K4)</f>
        <v>No surge arrestor</v>
      </c>
      <c r="G29" s="70">
        <f ca="1">ABS(INDEX(INDIRECT(TDSurgeArrestor!C3),MATCH(TDSelected!F29,INDIRECT(TDSurgeArrestor!B3),0)))</f>
        <v>0</v>
      </c>
      <c r="H29" s="24" t="s">
        <v>5</v>
      </c>
      <c r="I29" s="24"/>
      <c r="J29" s="24"/>
      <c r="K29" s="24"/>
      <c r="L29" s="24"/>
      <c r="M29" s="24"/>
      <c r="N29" s="24"/>
      <c r="O29" s="24"/>
      <c r="P29" s="53"/>
      <c r="Q29" s="2"/>
      <c r="S29" s="1" t="e">
        <f ca="1">MIN(MATCH($C$10,TDAntenna!O7:R39,0))</f>
        <v>#N/A</v>
      </c>
    </row>
    <row r="30" spans="2:19" x14ac:dyDescent="0.2">
      <c r="B30" s="52"/>
      <c r="C30" s="2" t="s">
        <v>309</v>
      </c>
      <c r="D30" s="70">
        <f ca="1">MIN(VLOOKUP($C$10,TDAntenna!$O$7:$R$50,4,FALSE),VLOOKUP($C$29,TDAntenna!$T$7:$V$39,3,FALSE))</f>
        <v>3</v>
      </c>
      <c r="E30" s="2"/>
      <c r="F30" s="2"/>
      <c r="G30" s="2"/>
      <c r="H30" s="2"/>
      <c r="I30" s="2"/>
      <c r="J30" s="24"/>
      <c r="K30" s="24"/>
      <c r="L30" s="24"/>
      <c r="M30" s="24"/>
      <c r="N30" s="24"/>
      <c r="O30" s="24"/>
      <c r="P30" s="53"/>
      <c r="Q30" s="2"/>
    </row>
    <row r="31" spans="2:19" ht="10.5" thickBot="1" x14ac:dyDescent="0.25">
      <c r="B31" s="54"/>
      <c r="C31" s="55"/>
      <c r="D31" s="55"/>
      <c r="E31" s="55"/>
      <c r="F31" s="55"/>
      <c r="G31" s="55"/>
      <c r="H31" s="55"/>
      <c r="I31" s="55"/>
      <c r="J31" s="399"/>
      <c r="K31" s="399"/>
      <c r="L31" s="399"/>
      <c r="M31" s="399"/>
      <c r="N31" s="399"/>
      <c r="O31" s="399"/>
      <c r="P31" s="56"/>
    </row>
    <row r="32" spans="2:19" ht="10.5" thickBot="1" x14ac:dyDescent="0.25">
      <c r="J32" s="155"/>
      <c r="K32" s="155"/>
      <c r="L32" s="155"/>
      <c r="M32" s="155"/>
      <c r="N32" s="155"/>
      <c r="O32" s="155"/>
      <c r="Q32" s="2"/>
    </row>
    <row r="33" spans="2:17" ht="10.5" x14ac:dyDescent="0.25">
      <c r="B33" s="57" t="s">
        <v>53</v>
      </c>
      <c r="C33" s="50"/>
      <c r="D33" s="50"/>
      <c r="E33" s="50"/>
      <c r="F33" s="50"/>
      <c r="G33" s="50"/>
      <c r="H33" s="50"/>
      <c r="I33" s="50"/>
      <c r="J33" s="306"/>
      <c r="K33" s="306"/>
      <c r="L33" s="306"/>
      <c r="M33" s="306"/>
      <c r="N33" s="306"/>
      <c r="O33" s="306"/>
      <c r="P33" s="51"/>
      <c r="Q33" s="2"/>
    </row>
    <row r="34" spans="2:17" ht="10.5" x14ac:dyDescent="0.25">
      <c r="B34" s="107"/>
      <c r="C34" s="58" t="s">
        <v>91</v>
      </c>
      <c r="D34" s="2"/>
      <c r="E34" s="75"/>
      <c r="F34" s="2"/>
      <c r="G34" s="2"/>
      <c r="H34" s="2"/>
      <c r="I34" s="2"/>
      <c r="J34" s="24"/>
      <c r="K34" s="24"/>
      <c r="L34" s="24"/>
      <c r="M34" s="24"/>
      <c r="N34" s="24"/>
      <c r="O34" s="24"/>
      <c r="P34" s="53"/>
      <c r="Q34" s="2"/>
    </row>
    <row r="35" spans="2:17" ht="10.5" x14ac:dyDescent="0.25">
      <c r="B35" s="107"/>
      <c r="C35" s="65" t="str">
        <f ca="1">SelectionTables!S4</f>
        <v>LANCOM OAP-1702B</v>
      </c>
      <c r="D35" s="2"/>
      <c r="E35" s="24"/>
      <c r="F35" s="2"/>
      <c r="G35" s="2"/>
      <c r="H35" s="2"/>
      <c r="I35" s="2"/>
      <c r="J35" s="24"/>
      <c r="K35" s="24"/>
      <c r="L35" s="24"/>
      <c r="M35" s="24"/>
      <c r="N35" s="24"/>
      <c r="O35" s="24"/>
      <c r="P35" s="53"/>
      <c r="Q35" s="2"/>
    </row>
    <row r="36" spans="2:17" ht="10.5" x14ac:dyDescent="0.25">
      <c r="B36" s="107"/>
      <c r="C36" s="2"/>
      <c r="D36" s="2"/>
      <c r="E36" s="2"/>
      <c r="F36" s="2"/>
      <c r="G36" s="2"/>
      <c r="H36" s="2"/>
      <c r="I36" s="2"/>
      <c r="J36" s="24"/>
      <c r="K36" s="24"/>
      <c r="L36" s="24"/>
      <c r="M36" s="24"/>
      <c r="N36" s="24"/>
      <c r="O36" s="24"/>
      <c r="P36" s="53"/>
      <c r="Q36" s="43"/>
    </row>
    <row r="37" spans="2:17" ht="11" thickBot="1" x14ac:dyDescent="0.3">
      <c r="B37" s="52"/>
      <c r="C37" s="58" t="s">
        <v>23</v>
      </c>
      <c r="D37" s="43" t="s">
        <v>90</v>
      </c>
      <c r="E37" s="43" t="s">
        <v>79</v>
      </c>
      <c r="F37" s="43" t="s">
        <v>80</v>
      </c>
      <c r="G37" s="58" t="s">
        <v>89</v>
      </c>
      <c r="H37" s="43" t="s">
        <v>81</v>
      </c>
      <c r="I37" s="43" t="s">
        <v>82</v>
      </c>
      <c r="J37" s="58" t="s">
        <v>506</v>
      </c>
      <c r="K37" s="43" t="s">
        <v>507</v>
      </c>
      <c r="L37" s="43" t="s">
        <v>508</v>
      </c>
      <c r="M37" s="58" t="s">
        <v>509</v>
      </c>
      <c r="N37" s="43" t="s">
        <v>510</v>
      </c>
      <c r="O37" s="43" t="s">
        <v>511</v>
      </c>
      <c r="P37" s="114"/>
      <c r="Q37" s="2"/>
    </row>
    <row r="38" spans="2:17" x14ac:dyDescent="0.2">
      <c r="B38" s="52"/>
      <c r="C38" s="65" t="str">
        <f ca="1">SelectionTables!Y4</f>
        <v>QCA9994 (5 GHz)</v>
      </c>
      <c r="D38" s="645">
        <f ca="1">$D$55*INDEX(INDIRECT(INDEX(INDIRECT(TDWLANModule!$C$1),MATCH(TDSelected!$C$38,INDIRECT(TDWLANModule!$B$1),0))),1,1+(12*(TDSelected!$D$4-1)))</f>
        <v>21.6</v>
      </c>
      <c r="E38" s="646">
        <f ca="1">INDEX(INDIRECT(INDEX(INDIRECT(TDWLANModule!$C$1),MATCH(TDSelected!$C$38,INDIRECT(TDWLANModule!$B$1),0))),1,2+(12*(TDSelected!$D$4-1)))</f>
        <v>21</v>
      </c>
      <c r="F38" s="647">
        <f ca="1">INDEX(INDIRECT(INDEX(INDIRECT(TDWLANModule!$C$1),MATCH(TDSelected!$C$38,INDIRECT(TDWLANModule!$B$1),0))),1,3+(12*(TDSelected!$D$4-1)))</f>
        <v>-94</v>
      </c>
      <c r="G38" s="645">
        <f ca="1">$D$55*INDEX(INDIRECT(INDEX(INDIRECT(TDWLANModule!$C$1),MATCH(TDSelected!$C$38,INDIRECT(TDWLANModule!$B$1),0))),1,4+(12*(TDSelected!$D$4-1)))</f>
        <v>45</v>
      </c>
      <c r="H38" s="646">
        <f ca="1">INDEX(INDIRECT(INDEX(INDIRECT(TDWLANModule!$C$1),MATCH(TDSelected!$C$38,INDIRECT(TDWLANModule!$B$1),0))),1,5+(12*(TDSelected!$D$4-1)))</f>
        <v>21</v>
      </c>
      <c r="I38" s="647">
        <f ca="1">INDEX(INDIRECT(INDEX(INDIRECT(TDWLANModule!$C$1),MATCH(TDSelected!$C$38,INDIRECT(TDWLANModule!$B$1),0))),1,6+(12*(TDSelected!$D$4-1)))</f>
        <v>-91</v>
      </c>
      <c r="J38" s="645">
        <f ca="1">$D$55*INDEX(INDIRECT(INDEX(INDIRECT(TDWLANModule!$C$1),MATCH(TDSelected!$C$38,INDIRECT(TDWLANModule!$B$1),0))),1,7+(12*(TDSelected!$D$4-1)))</f>
        <v>97.5</v>
      </c>
      <c r="K38" s="646">
        <f ca="1">INDEX(INDIRECT(INDEX(INDIRECT(TDWLANModule!$C$1),MATCH(TDSelected!$C$38,INDIRECT(TDWLANModule!$B$1),0))),1,8+(12*(TDSelected!$D$4-1)))</f>
        <v>20</v>
      </c>
      <c r="L38" s="647">
        <f ca="1">INDEX(INDIRECT(INDEX(INDIRECT(TDWLANModule!$C$1),MATCH(TDSelected!$C$38,INDIRECT(TDWLANModule!$B$1),0))),1,9+(12*(TDSelected!$D$4-1)))</f>
        <v>-88</v>
      </c>
      <c r="M38" s="645">
        <f ca="1">$D$55*INDEX(INDIRECT(INDEX(INDIRECT(TDWLANModule!$C$1),MATCH(TDSelected!$C$38,INDIRECT(TDWLANModule!$B$1),0))),1,10+(12*(TDSelected!$D$4-1)))</f>
        <v>0</v>
      </c>
      <c r="N38" s="646">
        <f ca="1">INDEX(INDIRECT(INDEX(INDIRECT(TDWLANModule!$C$1),MATCH(TDSelected!$C$38,INDIRECT(TDWLANModule!$B$1),0))),1,11+(12*(TDSelected!$D$4-1)))</f>
        <v>0</v>
      </c>
      <c r="O38" s="647">
        <f ca="1">INDEX(INDIRECT(INDEX(INDIRECT(TDWLANModule!$C$1),MATCH(TDSelected!$C$38,INDIRECT(TDWLANModule!$B$1),0))),1,12+(12*(TDSelected!$D$4-1)))</f>
        <v>0</v>
      </c>
      <c r="P38" s="115"/>
      <c r="Q38" s="2"/>
    </row>
    <row r="39" spans="2:17" x14ac:dyDescent="0.2">
      <c r="B39" s="52"/>
      <c r="C39" s="83" t="str">
        <f>IF((E35="Ja"),"Client Adapter used","")</f>
        <v/>
      </c>
      <c r="D39" s="648">
        <f ca="1">$D$55*INDEX(INDIRECT(INDEX(INDIRECT(TDWLANModule!$C$1),MATCH(TDSelected!$C$38,INDIRECT(TDWLANModule!$B$1),0))),2,1+(12*(TDSelected!$D$4-1)))</f>
        <v>43.2</v>
      </c>
      <c r="E39" s="649">
        <f ca="1">INDEX(INDIRECT(INDEX(INDIRECT(TDWLANModule!$C$1),MATCH(TDSelected!$C$38,INDIRECT(TDWLANModule!$B$1),0))),2,2+(12*(TDSelected!$D$4-1)))</f>
        <v>21</v>
      </c>
      <c r="F39" s="650">
        <f ca="1">INDEX(INDIRECT(INDEX(INDIRECT(TDWLANModule!$C$1),MATCH(TDSelected!$C$38,INDIRECT(TDWLANModule!$B$1),0))),2,3+(12*(TDSelected!$D$4-1)))</f>
        <v>-91</v>
      </c>
      <c r="G39" s="648">
        <f ca="1">$D$55*INDEX(INDIRECT(INDEX(INDIRECT(TDWLANModule!$C$1),MATCH(TDSelected!$C$38,INDIRECT(TDWLANModule!$B$1),0))),2,4+(12*(TDSelected!$D$4-1)))</f>
        <v>90</v>
      </c>
      <c r="H39" s="649">
        <f ca="1">INDEX(INDIRECT(INDEX(INDIRECT(TDWLANModule!$C$1),MATCH(TDSelected!$C$38,INDIRECT(TDWLANModule!$B$1),0))),2,5+(12*(TDSelected!$D$4-1)))</f>
        <v>21</v>
      </c>
      <c r="I39" s="650">
        <f ca="1">INDEX(INDIRECT(INDEX(INDIRECT(TDWLANModule!$C$1),MATCH(TDSelected!$C$38,INDIRECT(TDWLANModule!$B$1),0))),2,6+(12*(TDSelected!$D$4-1)))</f>
        <v>-88</v>
      </c>
      <c r="J39" s="648">
        <f ca="1">$D$55*INDEX(INDIRECT(INDEX(INDIRECT(TDWLANModule!$C$1),MATCH(TDSelected!$C$38,INDIRECT(TDWLANModule!$B$1),0))),2,7+(12*(TDSelected!$D$4-1)))</f>
        <v>195</v>
      </c>
      <c r="K39" s="649">
        <f ca="1">INDEX(INDIRECT(INDEX(INDIRECT(TDWLANModule!$C$1),MATCH(TDSelected!$C$38,INDIRECT(TDWLANModule!$B$1),0))),2,8+(12*(TDSelected!$D$4-1)))</f>
        <v>20</v>
      </c>
      <c r="L39" s="650">
        <f ca="1">INDEX(INDIRECT(INDEX(INDIRECT(TDWLANModule!$C$1),MATCH(TDSelected!$C$38,INDIRECT(TDWLANModule!$B$1),0))),2,9+(12*(TDSelected!$D$4-1)))</f>
        <v>-85</v>
      </c>
      <c r="M39" s="648">
        <f ca="1">$D$55*INDEX(INDIRECT(INDEX(INDIRECT(TDWLANModule!$C$1),MATCH(TDSelected!$C$13,INDIRECT(TDWLANModule!$B$1),0))),2,10+(12*(TDSelected!$D$4-1)))</f>
        <v>390</v>
      </c>
      <c r="N39" s="649">
        <f ca="1">INDEX(INDIRECT(INDEX(INDIRECT(TDWLANModule!$C$1),MATCH(TDSelected!$C$38,INDIRECT(TDWLANModule!$B$1),0))),2,11+(12*(TDSelected!$D$4-1)))</f>
        <v>0</v>
      </c>
      <c r="O39" s="650">
        <f ca="1">INDEX(INDIRECT(INDEX(INDIRECT(TDWLANModule!$C$1),MATCH(TDSelected!$C$38,INDIRECT(TDWLANModule!$B$1),0))),2,12+(12*(TDSelected!$D$4-1)))</f>
        <v>0</v>
      </c>
      <c r="P39" s="115"/>
      <c r="Q39" s="2"/>
    </row>
    <row r="40" spans="2:17" x14ac:dyDescent="0.2">
      <c r="B40" s="52"/>
      <c r="C40" s="2"/>
      <c r="D40" s="648">
        <f ca="1">$D$55*INDEX(INDIRECT(INDEX(INDIRECT(TDWLANModule!$C$1),MATCH(TDSelected!$C$38,INDIRECT(TDWLANModule!$B$1),0))),3,1+(12*(TDSelected!$D$4-1)))</f>
        <v>65.099999999999994</v>
      </c>
      <c r="E40" s="649">
        <f ca="1">INDEX(INDIRECT(INDEX(INDIRECT(TDWLANModule!$C$1),MATCH(TDSelected!$C$38,INDIRECT(TDWLANModule!$B$1),0))),3,2+(12*(TDSelected!$D$4-1)))</f>
        <v>21</v>
      </c>
      <c r="F40" s="650">
        <f ca="1">INDEX(INDIRECT(INDEX(INDIRECT(TDWLANModule!$C$1),MATCH(TDSelected!$C$38,INDIRECT(TDWLANModule!$B$1),0))),3,3+(12*(TDSelected!$D$4-1)))</f>
        <v>-90</v>
      </c>
      <c r="G40" s="648">
        <f ca="1">$D$55*INDEX(INDIRECT(INDEX(INDIRECT(TDWLANModule!$C$1),MATCH(TDSelected!$C$38,INDIRECT(TDWLANModule!$B$1),0))),3,4+(12*(TDSelected!$D$4-1)))</f>
        <v>135</v>
      </c>
      <c r="H40" s="649">
        <f ca="1">INDEX(INDIRECT(INDEX(INDIRECT(TDWLANModule!$C$1),MATCH(TDSelected!$C$38,INDIRECT(TDWLANModule!$B$1),0))),3,5+(12*(TDSelected!$D$4-1)))</f>
        <v>21</v>
      </c>
      <c r="I40" s="650">
        <f ca="1">INDEX(INDIRECT(INDEX(INDIRECT(TDWLANModule!$C$1),MATCH(TDSelected!$C$38,INDIRECT(TDWLANModule!$B$1),0))),3,6+(12*(TDSelected!$D$4-1)))</f>
        <v>-85</v>
      </c>
      <c r="J40" s="648">
        <f ca="1">$D$55*INDEX(INDIRECT(INDEX(INDIRECT(TDWLANModule!$C$1),MATCH(TDSelected!$C$38,INDIRECT(TDWLANModule!$B$1),0))),3,7+(12*(TDSelected!$D$4-1)))</f>
        <v>292.5</v>
      </c>
      <c r="K40" s="649">
        <f ca="1">INDEX(INDIRECT(INDEX(INDIRECT(TDWLANModule!$C$1),MATCH(TDSelected!$C$38,INDIRECT(TDWLANModule!$B$1),0))),3,8+(12*(TDSelected!$D$4-1)))</f>
        <v>20</v>
      </c>
      <c r="L40" s="650">
        <f ca="1">INDEX(INDIRECT(INDEX(INDIRECT(TDWLANModule!$C$1),MATCH(TDSelected!$C$38,INDIRECT(TDWLANModule!$B$1),0))),3,9+(12*(TDSelected!$D$4-1)))</f>
        <v>-83</v>
      </c>
      <c r="M40" s="648">
        <f ca="1">$D$55*INDEX(INDIRECT(INDEX(INDIRECT(TDWLANModule!$C$1),MATCH(TDSelected!$C$13,INDIRECT(TDWLANModule!$B$1),0))),3,10+(12*(TDSelected!$D$4-1)))</f>
        <v>585</v>
      </c>
      <c r="N40" s="649">
        <f ca="1">INDEX(INDIRECT(INDEX(INDIRECT(TDWLANModule!$C$1),MATCH(TDSelected!$C$38,INDIRECT(TDWLANModule!$B$1),0))),3,11+(12*(TDSelected!$D$4-1)))</f>
        <v>0</v>
      </c>
      <c r="O40" s="650">
        <f ca="1">INDEX(INDIRECT(INDEX(INDIRECT(TDWLANModule!$C$1),MATCH(TDSelected!$C$38,INDIRECT(TDWLANModule!$B$1),0))),3,12+(12*(TDSelected!$D$4-1)))</f>
        <v>0</v>
      </c>
      <c r="P40" s="115"/>
      <c r="Q40" s="2"/>
    </row>
    <row r="41" spans="2:17" x14ac:dyDescent="0.2">
      <c r="B41" s="52"/>
      <c r="C41" s="2"/>
      <c r="D41" s="648">
        <f ca="1">$D$55*INDEX(INDIRECT(INDEX(INDIRECT(TDWLANModule!$C$1),MATCH(TDSelected!$C$38,INDIRECT(TDWLANModule!$B$1),0))),4,1+(12*(TDSelected!$D$4-1)))</f>
        <v>86.699999999999989</v>
      </c>
      <c r="E41" s="649">
        <f ca="1">INDEX(INDIRECT(INDEX(INDIRECT(TDWLANModule!$C$1),MATCH(TDSelected!$C$38,INDIRECT(TDWLANModule!$B$1),0))),4,2+(12*(TDSelected!$D$4-1)))</f>
        <v>20</v>
      </c>
      <c r="F41" s="650">
        <f ca="1">INDEX(INDIRECT(INDEX(INDIRECT(TDWLANModule!$C$1),MATCH(TDSelected!$C$38,INDIRECT(TDWLANModule!$B$1),0))),4,3+(12*(TDSelected!$D$4-1)))</f>
        <v>-86</v>
      </c>
      <c r="G41" s="648">
        <f ca="1">$D$55*INDEX(INDIRECT(INDEX(INDIRECT(TDWLANModule!$C$1),MATCH(TDSelected!$C$38,INDIRECT(TDWLANModule!$B$1),0))),4,4+(12*(TDSelected!$D$4-1)))</f>
        <v>180</v>
      </c>
      <c r="H41" s="649">
        <f ca="1">INDEX(INDIRECT(INDEX(INDIRECT(TDWLANModule!$C$1),MATCH(TDSelected!$C$38,INDIRECT(TDWLANModule!$B$1),0))),4,5+(12*(TDSelected!$D$4-1)))</f>
        <v>20</v>
      </c>
      <c r="I41" s="650">
        <f ca="1">INDEX(INDIRECT(INDEX(INDIRECT(TDWLANModule!$C$1),MATCH(TDSelected!$C$38,INDIRECT(TDWLANModule!$B$1),0))),4,6+(12*(TDSelected!$D$4-1)))</f>
        <v>-82</v>
      </c>
      <c r="J41" s="648">
        <f ca="1">$D$55*INDEX(INDIRECT(INDEX(INDIRECT(TDWLANModule!$C$1),MATCH(TDSelected!$C$38,INDIRECT(TDWLANModule!$B$1),0))),4,7+(12*(TDSelected!$D$4-1)))</f>
        <v>390</v>
      </c>
      <c r="K41" s="649">
        <f ca="1">INDEX(INDIRECT(INDEX(INDIRECT(TDWLANModule!$C$1),MATCH(TDSelected!$C$38,INDIRECT(TDWLANModule!$B$1),0))),4,8+(12*(TDSelected!$D$4-1)))</f>
        <v>20</v>
      </c>
      <c r="L41" s="650">
        <f ca="1">INDEX(INDIRECT(INDEX(INDIRECT(TDWLANModule!$C$1),MATCH(TDSelected!$C$38,INDIRECT(TDWLANModule!$B$1),0))),4,9+(12*(TDSelected!$D$4-1)))</f>
        <v>-79</v>
      </c>
      <c r="M41" s="648">
        <f ca="1">$D$55*INDEX(INDIRECT(INDEX(INDIRECT(TDWLANModule!$C$1),MATCH(TDSelected!$C$13,INDIRECT(TDWLANModule!$B$1),0))),4,10+(12*(TDSelected!$D$4-1)))</f>
        <v>780</v>
      </c>
      <c r="N41" s="649">
        <f ca="1">INDEX(INDIRECT(INDEX(INDIRECT(TDWLANModule!$C$1),MATCH(TDSelected!$C$38,INDIRECT(TDWLANModule!$B$1),0))),4,11+(12*(TDSelected!$D$4-1)))</f>
        <v>0</v>
      </c>
      <c r="O41" s="650">
        <f ca="1">INDEX(INDIRECT(INDEX(INDIRECT(TDWLANModule!$C$1),MATCH(TDSelected!$C$38,INDIRECT(TDWLANModule!$B$1),0))),4,12+(12*(TDSelected!$D$4-1)))</f>
        <v>0</v>
      </c>
      <c r="P41" s="115"/>
      <c r="Q41" s="2"/>
    </row>
    <row r="42" spans="2:17" x14ac:dyDescent="0.2">
      <c r="B42" s="52"/>
      <c r="C42" s="2"/>
      <c r="D42" s="648">
        <f ca="1">$D$55*INDEX(INDIRECT(INDEX(INDIRECT(TDWLANModule!$C$1),MATCH(TDSelected!$C$38,INDIRECT(TDWLANModule!$B$1),0))),5,1+(12*(TDSelected!$D$4-1)))</f>
        <v>129.89999999999998</v>
      </c>
      <c r="E42" s="649">
        <f ca="1">INDEX(INDIRECT(INDEX(INDIRECT(TDWLANModule!$C$1),MATCH(TDSelected!$C$38,INDIRECT(TDWLANModule!$B$1),0))),5,2+(12*(TDSelected!$D$4-1)))</f>
        <v>19</v>
      </c>
      <c r="F42" s="650">
        <f ca="1">INDEX(INDIRECT(INDEX(INDIRECT(TDWLANModule!$C$1),MATCH(TDSelected!$C$38,INDIRECT(TDWLANModule!$B$1),0))),5,3+(12*(TDSelected!$D$4-1)))</f>
        <v>-83</v>
      </c>
      <c r="G42" s="648">
        <f ca="1">$D$55*INDEX(INDIRECT(INDEX(INDIRECT(TDWLANModule!$C$1),MATCH(TDSelected!$C$38,INDIRECT(TDWLANModule!$B$1),0))),5,4+(12*(TDSelected!$D$4-1)))</f>
        <v>270</v>
      </c>
      <c r="H42" s="649">
        <f ca="1">INDEX(INDIRECT(INDEX(INDIRECT(TDWLANModule!$C$1),MATCH(TDSelected!$C$38,INDIRECT(TDWLANModule!$B$1),0))),5,5+(12*(TDSelected!$D$4-1)))</f>
        <v>19</v>
      </c>
      <c r="I42" s="650">
        <f ca="1">INDEX(INDIRECT(INDEX(INDIRECT(TDWLANModule!$C$1),MATCH(TDSelected!$C$38,INDIRECT(TDWLANModule!$B$1),0))),5,6+(12*(TDSelected!$D$4-1)))</f>
        <v>-79</v>
      </c>
      <c r="J42" s="648">
        <f ca="1">$D$55*INDEX(INDIRECT(INDEX(INDIRECT(TDWLANModule!$C$1),MATCH(TDSelected!$C$38,INDIRECT(TDWLANModule!$B$1),0))),5,7+(12*(TDSelected!$D$4-1)))</f>
        <v>585</v>
      </c>
      <c r="K42" s="649">
        <f ca="1">INDEX(INDIRECT(INDEX(INDIRECT(TDWLANModule!$C$1),MATCH(TDSelected!$C$38,INDIRECT(TDWLANModule!$B$1),0))),5,8+(12*(TDSelected!$D$4-1)))</f>
        <v>19</v>
      </c>
      <c r="L42" s="650">
        <f ca="1">INDEX(INDIRECT(INDEX(INDIRECT(TDWLANModule!$C$1),MATCH(TDSelected!$C$38,INDIRECT(TDWLANModule!$B$1),0))),5,9+(12*(TDSelected!$D$4-1)))</f>
        <v>-76</v>
      </c>
      <c r="M42" s="648">
        <f ca="1">$D$55*INDEX(INDIRECT(INDEX(INDIRECT(TDWLANModule!$C$1),MATCH(TDSelected!$C$13,INDIRECT(TDWLANModule!$B$1),0))),5,10+(12*(TDSelected!$D$4-1)))</f>
        <v>1170</v>
      </c>
      <c r="N42" s="649">
        <f ca="1">INDEX(INDIRECT(INDEX(INDIRECT(TDWLANModule!$C$1),MATCH(TDSelected!$C$38,INDIRECT(TDWLANModule!$B$1),0))),5,11+(12*(TDSelected!$D$4-1)))</f>
        <v>0</v>
      </c>
      <c r="O42" s="650">
        <f ca="1">INDEX(INDIRECT(INDEX(INDIRECT(TDWLANModule!$C$1),MATCH(TDSelected!$C$38,INDIRECT(TDWLANModule!$B$1),0))),5,12+(12*(TDSelected!$D$4-1)))</f>
        <v>0</v>
      </c>
      <c r="P42" s="115"/>
      <c r="Q42" s="2"/>
    </row>
    <row r="43" spans="2:17" x14ac:dyDescent="0.2">
      <c r="B43" s="52"/>
      <c r="C43" s="2"/>
      <c r="D43" s="648">
        <f ca="1">$D$55*INDEX(INDIRECT(INDEX(INDIRECT(TDWLANModule!$C$1),MATCH(TDSelected!$C$38,INDIRECT(TDWLANModule!$B$1),0))),6,1+(12*(TDSelected!$D$4-1)))</f>
        <v>173.39999999999998</v>
      </c>
      <c r="E43" s="649">
        <f ca="1">INDEX(INDIRECT(INDEX(INDIRECT(TDWLANModule!$C$1),MATCH(TDSelected!$C$38,INDIRECT(TDWLANModule!$B$1),0))),6,2+(12*(TDSelected!$D$4-1)))</f>
        <v>18</v>
      </c>
      <c r="F43" s="650">
        <f ca="1">INDEX(INDIRECT(INDEX(INDIRECT(TDWLANModule!$C$1),MATCH(TDSelected!$C$38,INDIRECT(TDWLANModule!$B$1),0))),6,3+(12*(TDSelected!$D$4-1)))</f>
        <v>-80</v>
      </c>
      <c r="G43" s="648">
        <f ca="1">$D$55*INDEX(INDIRECT(INDEX(INDIRECT(TDWLANModule!$C$1),MATCH(TDSelected!$C$38,INDIRECT(TDWLANModule!$B$1),0))),6,4+(12*(TDSelected!$D$4-1)))</f>
        <v>360</v>
      </c>
      <c r="H43" s="649">
        <f ca="1">INDEX(INDIRECT(INDEX(INDIRECT(TDWLANModule!$C$1),MATCH(TDSelected!$C$38,INDIRECT(TDWLANModule!$B$1),0))),6,5+(12*(TDSelected!$D$4-1)))</f>
        <v>18</v>
      </c>
      <c r="I43" s="650">
        <f ca="1">INDEX(INDIRECT(INDEX(INDIRECT(TDWLANModule!$C$1),MATCH(TDSelected!$C$38,INDIRECT(TDWLANModule!$B$1),0))),6,6+(12*(TDSelected!$D$4-1)))</f>
        <v>-75</v>
      </c>
      <c r="J43" s="648">
        <f ca="1">$D$55*INDEX(INDIRECT(INDEX(INDIRECT(TDWLANModule!$C$1),MATCH(TDSelected!$C$38,INDIRECT(TDWLANModule!$B$1),0))),6,7+(12*(TDSelected!$D$4-1)))</f>
        <v>780</v>
      </c>
      <c r="K43" s="649">
        <f ca="1">INDEX(INDIRECT(INDEX(INDIRECT(TDWLANModule!$C$1),MATCH(TDSelected!$C$38,INDIRECT(TDWLANModule!$B$1),0))),6,8+(12*(TDSelected!$D$4-1)))</f>
        <v>18</v>
      </c>
      <c r="L43" s="650">
        <f ca="1">INDEX(INDIRECT(INDEX(INDIRECT(TDWLANModule!$C$1),MATCH(TDSelected!$C$38,INDIRECT(TDWLANModule!$B$1),0))),6,9+(12*(TDSelected!$D$4-1)))</f>
        <v>-71</v>
      </c>
      <c r="M43" s="648">
        <f ca="1">$D$55*INDEX(INDIRECT(INDEX(INDIRECT(TDWLANModule!$C$1),MATCH(TDSelected!$C$13,INDIRECT(TDWLANModule!$B$1),0))),6,10+(12*(TDSelected!$D$4-1)))</f>
        <v>1560</v>
      </c>
      <c r="N43" s="649">
        <f ca="1">INDEX(INDIRECT(INDEX(INDIRECT(TDWLANModule!$C$1),MATCH(TDSelected!$C$38,INDIRECT(TDWLANModule!$B$1),0))),6,11+(12*(TDSelected!$D$4-1)))</f>
        <v>0</v>
      </c>
      <c r="O43" s="650">
        <f ca="1">INDEX(INDIRECT(INDEX(INDIRECT(TDWLANModule!$C$1),MATCH(TDSelected!$C$38,INDIRECT(TDWLANModule!$B$1),0))),6,12+(12*(TDSelected!$D$4-1)))</f>
        <v>0</v>
      </c>
      <c r="P43" s="115"/>
      <c r="Q43" s="2"/>
    </row>
    <row r="44" spans="2:17" x14ac:dyDescent="0.2">
      <c r="B44" s="52"/>
      <c r="C44" s="2"/>
      <c r="D44" s="648">
        <f ca="1">$D$55*INDEX(INDIRECT(INDEX(INDIRECT(TDWLANModule!$C$1),MATCH(TDSelected!$C$38,INDIRECT(TDWLANModule!$B$1),0))),7,1+(12*(TDSelected!$D$4-1)))</f>
        <v>195</v>
      </c>
      <c r="E44" s="649">
        <f ca="1">INDEX(INDIRECT(INDEX(INDIRECT(TDWLANModule!$C$1),MATCH(TDSelected!$C$38,INDIRECT(TDWLANModule!$B$1),0))),7,2+(12*(TDSelected!$D$4-1)))</f>
        <v>17</v>
      </c>
      <c r="F44" s="650">
        <f ca="1">INDEX(INDIRECT(INDEX(INDIRECT(TDWLANModule!$C$1),MATCH(TDSelected!$C$38,INDIRECT(TDWLANModule!$B$1),0))),7,3+(12*(TDSelected!$D$4-1)))</f>
        <v>-77</v>
      </c>
      <c r="G44" s="648">
        <f ca="1">$D$55*INDEX(INDIRECT(INDEX(INDIRECT(TDWLANModule!$C$1),MATCH(TDSelected!$C$38,INDIRECT(TDWLANModule!$B$1),0))),7,4+(12*(TDSelected!$D$4-1)))</f>
        <v>405</v>
      </c>
      <c r="H44" s="649">
        <f ca="1">INDEX(INDIRECT(INDEX(INDIRECT(TDWLANModule!$C$1),MATCH(TDSelected!$C$38,INDIRECT(TDWLANModule!$B$1),0))),7,5+(12*(TDSelected!$D$4-1)))</f>
        <v>18</v>
      </c>
      <c r="I44" s="650">
        <f ca="1">INDEX(INDIRECT(INDEX(INDIRECT(TDWLANModule!$C$1),MATCH(TDSelected!$C$38,INDIRECT(TDWLANModule!$B$1),0))),7,6+(12*(TDSelected!$D$4-1)))</f>
        <v>-73</v>
      </c>
      <c r="J44" s="648">
        <f ca="1">$D$55*INDEX(INDIRECT(INDEX(INDIRECT(TDWLANModule!$C$1),MATCH(TDSelected!$C$38,INDIRECT(TDWLANModule!$B$1),0))),7,7+(12*(TDSelected!$D$4-1)))</f>
        <v>877.5</v>
      </c>
      <c r="K44" s="649">
        <f ca="1">INDEX(INDIRECT(INDEX(INDIRECT(TDWLANModule!$C$1),MATCH(TDSelected!$C$38,INDIRECT(TDWLANModule!$B$1),0))),7,8+(12*(TDSelected!$D$4-1)))</f>
        <v>18</v>
      </c>
      <c r="L44" s="650">
        <f ca="1">INDEX(INDIRECT(INDEX(INDIRECT(TDWLANModule!$C$1),MATCH(TDSelected!$C$38,INDIRECT(TDWLANModule!$B$1),0))),7,9+(12*(TDSelected!$D$4-1)))</f>
        <v>-69</v>
      </c>
      <c r="M44" s="648">
        <f ca="1">$D$55*INDEX(INDIRECT(INDEX(INDIRECT(TDWLANModule!$C$1),MATCH(TDSelected!$C$13,INDIRECT(TDWLANModule!$B$1),0))),7,10+(12*(TDSelected!$D$4-1)))</f>
        <v>1755</v>
      </c>
      <c r="N44" s="649">
        <f ca="1">INDEX(INDIRECT(INDEX(INDIRECT(TDWLANModule!$C$1),MATCH(TDSelected!$C$38,INDIRECT(TDWLANModule!$B$1),0))),7,11+(12*(TDSelected!$D$4-1)))</f>
        <v>0</v>
      </c>
      <c r="O44" s="650">
        <f ca="1">INDEX(INDIRECT(INDEX(INDIRECT(TDWLANModule!$C$1),MATCH(TDSelected!$C$38,INDIRECT(TDWLANModule!$B$1),0))),7,12+(12*(TDSelected!$D$4-1)))</f>
        <v>0</v>
      </c>
      <c r="P44" s="115"/>
      <c r="Q44" s="2"/>
    </row>
    <row r="45" spans="2:17" x14ac:dyDescent="0.2">
      <c r="B45" s="52"/>
      <c r="C45" s="2"/>
      <c r="D45" s="648">
        <f ca="1">$D$55*INDEX(INDIRECT(INDEX(INDIRECT(TDWLANModule!$C$1),MATCH(TDSelected!$C$38,INDIRECT(TDWLANModule!$B$1),0))),8,1+(12*(TDSelected!$D$4-1)))</f>
        <v>216.60000000000002</v>
      </c>
      <c r="E45" s="649">
        <f ca="1">INDEX(INDIRECT(INDEX(INDIRECT(TDWLANModule!$C$1),MATCH(TDSelected!$C$38,INDIRECT(TDWLANModule!$B$1),0))),8,2+(12*(TDSelected!$D$4-1)))</f>
        <v>16</v>
      </c>
      <c r="F45" s="650">
        <f ca="1">INDEX(INDIRECT(INDEX(INDIRECT(TDWLANModule!$C$1),MATCH(TDSelected!$C$38,INDIRECT(TDWLANModule!$B$1),0))),8,3+(12*(TDSelected!$D$4-1)))</f>
        <v>-75</v>
      </c>
      <c r="G45" s="648">
        <f ca="1">$D$55*INDEX(INDIRECT(INDEX(INDIRECT(TDWLANModule!$C$1),MATCH(TDSelected!$C$38,INDIRECT(TDWLANModule!$B$1),0))),8,4+(12*(TDSelected!$D$4-1)))</f>
        <v>450</v>
      </c>
      <c r="H45" s="649">
        <f ca="1">INDEX(INDIRECT(INDEX(INDIRECT(TDWLANModule!$C$1),MATCH(TDSelected!$C$38,INDIRECT(TDWLANModule!$B$1),0))),8,5+(12*(TDSelected!$D$4-1)))</f>
        <v>17</v>
      </c>
      <c r="I45" s="650">
        <f ca="1">INDEX(INDIRECT(INDEX(INDIRECT(TDWLANModule!$C$1),MATCH(TDSelected!$C$38,INDIRECT(TDWLANModule!$B$1),0))),8,6+(12*(TDSelected!$D$4-1)))</f>
        <v>-72</v>
      </c>
      <c r="J45" s="648">
        <f ca="1">$D$55*INDEX(INDIRECT(INDEX(INDIRECT(TDWLANModule!$C$1),MATCH(TDSelected!$C$38,INDIRECT(TDWLANModule!$B$1),0))),8,7+(12*(TDSelected!$D$4-1)))</f>
        <v>975</v>
      </c>
      <c r="K45" s="649">
        <f ca="1">INDEX(INDIRECT(INDEX(INDIRECT(TDWLANModule!$C$1),MATCH(TDSelected!$C$38,INDIRECT(TDWLANModule!$B$1),0))),8,8+(12*(TDSelected!$D$4-1)))</f>
        <v>17</v>
      </c>
      <c r="L45" s="650">
        <f ca="1">INDEX(INDIRECT(INDEX(INDIRECT(TDWLANModule!$C$1),MATCH(TDSelected!$C$38,INDIRECT(TDWLANModule!$B$1),0))),8,9+(12*(TDSelected!$D$4-1)))</f>
        <v>-69</v>
      </c>
      <c r="M45" s="648">
        <f ca="1">$D$55*INDEX(INDIRECT(INDEX(INDIRECT(TDWLANModule!$C$1),MATCH(TDSelected!$C$13,INDIRECT(TDWLANModule!$B$1),0))),8,10+(12*(TDSelected!$D$4-1)))</f>
        <v>1950</v>
      </c>
      <c r="N45" s="649">
        <f ca="1">INDEX(INDIRECT(INDEX(INDIRECT(TDWLANModule!$C$1),MATCH(TDSelected!$C$38,INDIRECT(TDWLANModule!$B$1),0))),8,11+(12*(TDSelected!$D$4-1)))</f>
        <v>0</v>
      </c>
      <c r="O45" s="650">
        <f ca="1">INDEX(INDIRECT(INDEX(INDIRECT(TDWLANModule!$C$1),MATCH(TDSelected!$C$38,INDIRECT(TDWLANModule!$B$1),0))),8,12+(12*(TDSelected!$D$4-1)))</f>
        <v>0</v>
      </c>
      <c r="P45" s="115"/>
      <c r="Q45" s="2"/>
    </row>
    <row r="46" spans="2:17" x14ac:dyDescent="0.2">
      <c r="B46" s="52"/>
      <c r="C46" s="2"/>
      <c r="D46" s="648">
        <f ca="1">$D$55*INDEX(INDIRECT(INDEX(INDIRECT(TDWLANModule!$C$1),MATCH(TDSelected!$C$38,INDIRECT(TDWLANModule!$B$1),0))),9,1+(12*(TDSelected!$D$4-1)))</f>
        <v>260.10000000000002</v>
      </c>
      <c r="E46" s="649">
        <f ca="1">INDEX(INDIRECT(INDEX(INDIRECT(TDWLANModule!$C$1),MATCH(TDSelected!$C$38,INDIRECT(TDWLANModule!$B$1),0))),9,2+(12*(TDSelected!$D$4-1)))</f>
        <v>15</v>
      </c>
      <c r="F46" s="650">
        <f ca="1">INDEX(INDIRECT(INDEX(INDIRECT(TDWLANModule!$C$1),MATCH(TDSelected!$C$38,INDIRECT(TDWLANModule!$B$1),0))),9,3+(12*(TDSelected!$D$4-1)))</f>
        <v>-71</v>
      </c>
      <c r="G46" s="648">
        <f ca="1">$D$55*INDEX(INDIRECT(INDEX(INDIRECT(TDWLANModule!$C$1),MATCH(TDSelected!$C$38,INDIRECT(TDWLANModule!$B$1),0))),9,4+(12*(TDSelected!$D$4-1)))</f>
        <v>540</v>
      </c>
      <c r="H46" s="649">
        <f ca="1">INDEX(INDIRECT(INDEX(INDIRECT(TDWLANModule!$C$1),MATCH(TDSelected!$C$38,INDIRECT(TDWLANModule!$B$1),0))),9,5+(12*(TDSelected!$D$4-1)))</f>
        <v>16</v>
      </c>
      <c r="I46" s="650">
        <f ca="1">INDEX(INDIRECT(INDEX(INDIRECT(TDWLANModule!$C$1),MATCH(TDSelected!$C$38,INDIRECT(TDWLANModule!$B$1),0))),9,6+(12*(TDSelected!$D$4-1)))</f>
        <v>-69</v>
      </c>
      <c r="J46" s="648">
        <f ca="1">$D$55*INDEX(INDIRECT(INDEX(INDIRECT(TDWLANModule!$C$1),MATCH(TDSelected!$C$38,INDIRECT(TDWLANModule!$B$1),0))),9,7+(12*(TDSelected!$D$4-1)))</f>
        <v>1170</v>
      </c>
      <c r="K46" s="649">
        <f ca="1">INDEX(INDIRECT(INDEX(INDIRECT(TDWLANModule!$C$1),MATCH(TDSelected!$C$38,INDIRECT(TDWLANModule!$B$1),0))),9,8+(12*(TDSelected!$D$4-1)))</f>
        <v>16</v>
      </c>
      <c r="L46" s="650">
        <f ca="1">INDEX(INDIRECT(INDEX(INDIRECT(TDWLANModule!$C$1),MATCH(TDSelected!$C$38,INDIRECT(TDWLANModule!$B$1),0))),9,9+(12*(TDSelected!$D$4-1)))</f>
        <v>-65</v>
      </c>
      <c r="M46" s="648">
        <f ca="1">$D$55*INDEX(INDIRECT(INDEX(INDIRECT(TDWLANModule!$C$1),MATCH(TDSelected!$C$13,INDIRECT(TDWLANModule!$B$1),0))),9,10+(12*(TDSelected!$D$4-1)))</f>
        <v>2340</v>
      </c>
      <c r="N46" s="649">
        <f ca="1">INDEX(INDIRECT(INDEX(INDIRECT(TDWLANModule!$C$1),MATCH(TDSelected!$C$38,INDIRECT(TDWLANModule!$B$1),0))),9,11+(12*(TDSelected!$D$4-1)))</f>
        <v>0</v>
      </c>
      <c r="O46" s="650">
        <f ca="1">INDEX(INDIRECT(INDEX(INDIRECT(TDWLANModule!$C$1),MATCH(TDSelected!$C$38,INDIRECT(TDWLANModule!$B$1),0))),9,12+(12*(TDSelected!$D$4-1)))</f>
        <v>0</v>
      </c>
      <c r="P46" s="115"/>
      <c r="Q46" s="2"/>
    </row>
    <row r="47" spans="2:17" x14ac:dyDescent="0.2">
      <c r="B47" s="52"/>
      <c r="C47" s="2"/>
      <c r="D47" s="648">
        <f ca="1">$D$55*INDEX(INDIRECT(INDEX(INDIRECT(TDWLANModule!$C$1),MATCH(TDSelected!$C$38,INDIRECT(TDWLANModule!$B$1),0))),10,1+(12*(TDSelected!$D$4-1)))</f>
        <v>0</v>
      </c>
      <c r="E47" s="649">
        <f ca="1">INDEX(INDIRECT(INDEX(INDIRECT(TDWLANModule!$C$1),MATCH(TDSelected!$C$38,INDIRECT(TDWLANModule!$B$1),0))),10,2+(12*(TDSelected!$D$4-1)))</f>
        <v>0</v>
      </c>
      <c r="F47" s="650">
        <f ca="1">INDEX(INDIRECT(INDEX(INDIRECT(TDWLANModule!$C$1),MATCH(TDSelected!$C$38,INDIRECT(TDWLANModule!$B$1),0))),10,3+(12*(TDSelected!$D$4-1)))</f>
        <v>0</v>
      </c>
      <c r="G47" s="648">
        <f ca="1">$D$55*INDEX(INDIRECT(INDEX(INDIRECT(TDWLANModule!$C$1),MATCH(TDSelected!$C$38,INDIRECT(TDWLANModule!$B$1),0))),10,4+(12*(TDSelected!$D$4-1)))</f>
        <v>600</v>
      </c>
      <c r="H47" s="649">
        <f ca="1">INDEX(INDIRECT(INDEX(INDIRECT(TDWLANModule!$C$1),MATCH(TDSelected!$C$38,INDIRECT(TDWLANModule!$B$1),0))),10,5+(12*(TDSelected!$D$4-1)))</f>
        <v>15</v>
      </c>
      <c r="I47" s="650">
        <f ca="1">INDEX(INDIRECT(INDEX(INDIRECT(TDWLANModule!$C$1),MATCH(TDSelected!$C$38,INDIRECT(TDWLANModule!$B$1),0))),10,6+(12*(TDSelected!$D$4-1)))</f>
        <v>-66</v>
      </c>
      <c r="J47" s="648">
        <f ca="1">$D$55*INDEX(INDIRECT(INDEX(INDIRECT(TDWLANModule!$C$1),MATCH(TDSelected!$C$38,INDIRECT(TDWLANModule!$B$1),0))),10,7+(12*(TDSelected!$D$4-1)))</f>
        <v>1299.9000000000001</v>
      </c>
      <c r="K47" s="649">
        <f ca="1">INDEX(INDIRECT(INDEX(INDIRECT(TDWLANModule!$C$1),MATCH(TDSelected!$C$38,INDIRECT(TDWLANModule!$B$1),0))),10,8+(12*(TDSelected!$D$4-1)))</f>
        <v>15</v>
      </c>
      <c r="L47" s="650">
        <f ca="1">INDEX(INDIRECT(INDEX(INDIRECT(TDWLANModule!$C$1),MATCH(TDSelected!$C$38,INDIRECT(TDWLANModule!$B$1),0))),10,9+(12*(TDSelected!$D$4-1)))</f>
        <v>-62</v>
      </c>
      <c r="M47" s="648">
        <f ca="1">$D$55*INDEX(INDIRECT(INDEX(INDIRECT(TDWLANModule!$C$1),MATCH(TDSelected!$C$13,INDIRECT(TDWLANModule!$B$1),0))),10,10+(12*(TDSelected!$D$4-1)))</f>
        <v>2600.1000000000004</v>
      </c>
      <c r="N47" s="649">
        <f ca="1">INDEX(INDIRECT(INDEX(INDIRECT(TDWLANModule!$C$1),MATCH(TDSelected!$C$38,INDIRECT(TDWLANModule!$B$1),0))),10,11+(12*(TDSelected!$D$4-1)))</f>
        <v>0</v>
      </c>
      <c r="O47" s="650">
        <f ca="1">INDEX(INDIRECT(INDEX(INDIRECT(TDWLANModule!$C$1),MATCH(TDSelected!$C$38,INDIRECT(TDWLANModule!$B$1),0))),10,12+(12*(TDSelected!$D$4-1)))</f>
        <v>0</v>
      </c>
      <c r="P47" s="115"/>
      <c r="Q47" s="2"/>
    </row>
    <row r="48" spans="2:17" ht="10.5" thickBot="1" x14ac:dyDescent="0.25">
      <c r="B48" s="52"/>
      <c r="C48" s="2"/>
      <c r="D48" s="651">
        <f ca="1">$D$55*INDEX(INDIRECT(INDEX(INDIRECT(TDWLANModule!$C$1),MATCH(TDSelected!$C$38,INDIRECT(TDWLANModule!$B$1),0))),11,1+(12*(TDSelected!$D$4-1)))</f>
        <v>0</v>
      </c>
      <c r="E48" s="652">
        <f ca="1">INDEX(INDIRECT(INDEX(INDIRECT(TDWLANModule!$C$1),MATCH(TDSelected!$C$38,INDIRECT(TDWLANModule!$B$1),0))),11,2+(12*(TDSelected!$D$4-1)))</f>
        <v>0</v>
      </c>
      <c r="F48" s="653">
        <f ca="1">INDEX(INDIRECT(INDEX(INDIRECT(TDWLANModule!$C$1),MATCH(TDSelected!$C$38,INDIRECT(TDWLANModule!$B$1),0))),11,3+(12*(TDSelected!$D$4-1)))</f>
        <v>0</v>
      </c>
      <c r="G48" s="651">
        <f ca="1">$D$55*INDEX(INDIRECT(INDEX(INDIRECT(TDWLANModule!$C$1),MATCH(TDSelected!$C$38,INDIRECT(TDWLANModule!$B$1),0))),11,4+(12*(TDSelected!$D$4-1)))</f>
        <v>0</v>
      </c>
      <c r="H48" s="652">
        <f ca="1">INDEX(INDIRECT(INDEX(INDIRECT(TDWLANModule!$C$1),MATCH(TDSelected!$C$38,INDIRECT(TDWLANModule!$B$1),0))),11,5+(12*(TDSelected!$D$4-1)))</f>
        <v>0</v>
      </c>
      <c r="I48" s="653">
        <f ca="1">INDEX(INDIRECT(INDEX(INDIRECT(TDWLANModule!$C$1),MATCH(TDSelected!$C$38,INDIRECT(TDWLANModule!$B$1),0))),11,6+(12*(TDSelected!$D$4-1)))</f>
        <v>0</v>
      </c>
      <c r="J48" s="651">
        <f ca="1">$D$55*INDEX(INDIRECT(INDEX(INDIRECT(TDWLANModule!$C$1),MATCH(TDSelected!$C$38,INDIRECT(TDWLANModule!$B$1),0))),11,7+(12*(TDSelected!$D$4-1)))</f>
        <v>0</v>
      </c>
      <c r="K48" s="652">
        <f ca="1">INDEX(INDIRECT(INDEX(INDIRECT(TDWLANModule!$C$1),MATCH(TDSelected!$C$38,INDIRECT(TDWLANModule!$B$1),0))),11,8+(12*(TDSelected!$D$4-1)))</f>
        <v>0</v>
      </c>
      <c r="L48" s="653">
        <f ca="1">INDEX(INDIRECT(INDEX(INDIRECT(TDWLANModule!$C$1),MATCH(TDSelected!$C$38,INDIRECT(TDWLANModule!$B$1),0))),11,9+(12*(TDSelected!$D$4-1)))</f>
        <v>0</v>
      </c>
      <c r="M48" s="651">
        <f ca="1">$D$55*INDEX(INDIRECT(INDEX(INDIRECT(TDWLANModule!$C$1),MATCH(TDSelected!$C$13,INDIRECT(TDWLANModule!$B$1),0))),11,10+(12*(TDSelected!$D$4-1)))</f>
        <v>0</v>
      </c>
      <c r="N48" s="652">
        <f ca="1">INDEX(INDIRECT(INDEX(INDIRECT(TDWLANModule!$C$1),MATCH(TDSelected!$C$38,INDIRECT(TDWLANModule!$B$1),0))),11,11+(12*(TDSelected!$D$4-1)))</f>
        <v>0</v>
      </c>
      <c r="O48" s="653">
        <f ca="1">INDEX(INDIRECT(INDEX(INDIRECT(TDWLANModule!$C$1),MATCH(TDSelected!$C$38,INDIRECT(TDWLANModule!$B$1),0))),11,12+(12*(TDSelected!$D$4-1)))</f>
        <v>0</v>
      </c>
      <c r="P48" s="115"/>
      <c r="Q48" s="2"/>
    </row>
    <row r="49" spans="2:19" ht="10.5" x14ac:dyDescent="0.25">
      <c r="B49" s="52"/>
      <c r="C49" s="2"/>
      <c r="D49" s="24"/>
      <c r="E49" s="24"/>
      <c r="F49" s="24"/>
      <c r="G49" s="2"/>
      <c r="H49" s="2"/>
      <c r="I49" s="2"/>
      <c r="J49" s="24"/>
      <c r="K49" s="24"/>
      <c r="L49" s="24"/>
      <c r="M49" s="24"/>
      <c r="N49" s="24"/>
      <c r="O49" s="24"/>
      <c r="P49" s="115"/>
      <c r="Q49" s="2"/>
      <c r="R49" s="43"/>
      <c r="S49" s="2"/>
    </row>
    <row r="50" spans="2:19" ht="10.5" x14ac:dyDescent="0.25">
      <c r="B50" s="52"/>
      <c r="C50" s="58" t="s">
        <v>21</v>
      </c>
      <c r="D50" s="59" t="s">
        <v>49</v>
      </c>
      <c r="E50" s="59"/>
      <c r="F50" s="59" t="s">
        <v>22</v>
      </c>
      <c r="G50" s="59" t="s">
        <v>49</v>
      </c>
      <c r="H50" s="59"/>
      <c r="I50" s="59"/>
      <c r="J50" s="464"/>
      <c r="K50" s="464"/>
      <c r="L50" s="464"/>
      <c r="M50" s="464"/>
      <c r="N50" s="464"/>
      <c r="O50" s="464"/>
      <c r="P50" s="53"/>
      <c r="Q50" s="2"/>
      <c r="R50" s="2"/>
      <c r="S50" s="2"/>
    </row>
    <row r="51" spans="2:19" x14ac:dyDescent="0.2">
      <c r="B51" s="52"/>
      <c r="C51" s="65" t="str">
        <f ca="1">IF(SelectionTables!T4="",LanguageTable!B4,SelectionTables!T4)</f>
        <v>AirLancer Cable NJ-NP 3m</v>
      </c>
      <c r="D51" s="137">
        <f ca="1">ABS(IF(C51=LanguageTable!B5,INDEX(INDIRECT(TDCable!J4),1,H4),INDEX(INDIRECT(TDCable!J5),MATCH(C51,INDIRECT(TDCable!I5),0),H4)))</f>
        <v>4.5</v>
      </c>
      <c r="E51" s="2" t="s">
        <v>5</v>
      </c>
      <c r="F51" s="65" t="str">
        <f ca="1">IF(SelectionTables!X4="",LanguageTable!B4,SelectionTables!X4)</f>
        <v>No cable</v>
      </c>
      <c r="G51" s="137">
        <f ca="1">ABS(IF(F51=LanguageTable!B5,INDEX(INDIRECT(TDCable!J4),2,H4),INDEX(INDIRECT(TDCable!J5),MATCH(F51,INDIRECT(TDCable!I5),0),H4)))</f>
        <v>0</v>
      </c>
      <c r="H51" s="24" t="s">
        <v>5</v>
      </c>
      <c r="I51" s="24"/>
      <c r="J51" s="24"/>
      <c r="K51" s="24"/>
      <c r="L51" s="24"/>
      <c r="M51" s="24"/>
      <c r="N51" s="24"/>
      <c r="O51" s="24"/>
      <c r="P51" s="53"/>
      <c r="Q51" s="2"/>
      <c r="R51" s="2"/>
      <c r="S51" s="2"/>
    </row>
    <row r="52" spans="2:19" x14ac:dyDescent="0.2">
      <c r="B52" s="52"/>
      <c r="C52" s="2"/>
      <c r="D52" s="2"/>
      <c r="E52" s="2"/>
      <c r="F52" s="2"/>
      <c r="G52" s="2"/>
      <c r="H52" s="2"/>
      <c r="I52" s="2"/>
      <c r="J52" s="24"/>
      <c r="K52" s="24"/>
      <c r="L52" s="24"/>
      <c r="M52" s="24"/>
      <c r="N52" s="24"/>
      <c r="O52" s="24"/>
      <c r="P52" s="53"/>
      <c r="Q52" s="2"/>
      <c r="R52" s="2"/>
      <c r="S52" s="2"/>
    </row>
    <row r="53" spans="2:19" ht="10.5" x14ac:dyDescent="0.25">
      <c r="B53" s="52"/>
      <c r="C53" s="58" t="s">
        <v>19</v>
      </c>
      <c r="D53" s="58" t="s">
        <v>51</v>
      </c>
      <c r="E53" s="2"/>
      <c r="F53" s="58" t="s">
        <v>20</v>
      </c>
      <c r="G53" s="58" t="s">
        <v>49</v>
      </c>
      <c r="H53" s="58"/>
      <c r="I53" s="58"/>
      <c r="J53" s="58"/>
      <c r="K53" s="58"/>
      <c r="L53" s="58"/>
      <c r="M53" s="58"/>
      <c r="N53" s="58"/>
      <c r="O53" s="58"/>
      <c r="P53" s="53"/>
      <c r="Q53" s="2"/>
      <c r="R53" s="2"/>
      <c r="S53" s="2"/>
    </row>
    <row r="54" spans="2:19" x14ac:dyDescent="0.2">
      <c r="B54" s="52"/>
      <c r="C54" s="65" t="str">
        <f ca="1">IF(SelectionTables!U4="",LanguageTable!B2,SelectionTables!U4)</f>
        <v>AirLancer ON-T60ag</v>
      </c>
      <c r="D54" s="137">
        <f ca="1">ABS(INDEX(INDIRECT(TDAntenna!J5),MATCH(TDSelected!C54,INDIRECT(TDAntenna!I5),0),TDSelected!H4))</f>
        <v>8</v>
      </c>
      <c r="E54" s="2" t="s">
        <v>5</v>
      </c>
      <c r="F54" s="65" t="str">
        <f ca="1">IF(SelectionTables!V4="",LanguageTable!B6,SelectionTables!V4)</f>
        <v>No surge arrestor</v>
      </c>
      <c r="G54" s="70">
        <f ca="1">ABS(INDEX(INDIRECT(TDSurgeArrestor!C3),MATCH(TDSelected!F54,INDIRECT(TDSurgeArrestor!B3),0)))</f>
        <v>0</v>
      </c>
      <c r="H54" s="24" t="s">
        <v>5</v>
      </c>
      <c r="I54" s="24"/>
      <c r="J54" s="24"/>
      <c r="K54" s="24"/>
      <c r="L54" s="24"/>
      <c r="M54" s="24"/>
      <c r="N54" s="24"/>
      <c r="O54" s="24"/>
      <c r="P54" s="53"/>
      <c r="Q54" s="2"/>
      <c r="R54" s="2"/>
      <c r="S54" s="2"/>
    </row>
    <row r="55" spans="2:19" x14ac:dyDescent="0.2">
      <c r="B55" s="52"/>
      <c r="C55" s="2" t="s">
        <v>309</v>
      </c>
      <c r="D55" s="70">
        <f ca="1">MIN(VLOOKUP($C$10,TDAntenna!$O$7:$R$50,4,FALSE),VLOOKUP($C$29,TDAntenna!$T$7:$V$39,3,FALSE))</f>
        <v>3</v>
      </c>
      <c r="E55" s="2"/>
      <c r="F55" s="2"/>
      <c r="G55" s="2"/>
      <c r="H55" s="2"/>
      <c r="I55" s="2"/>
      <c r="J55" s="2"/>
      <c r="K55" s="2"/>
      <c r="L55" s="2"/>
      <c r="M55" s="2"/>
      <c r="N55" s="2"/>
      <c r="O55" s="2"/>
      <c r="P55" s="53"/>
      <c r="R55" s="2"/>
      <c r="S55" s="2"/>
    </row>
    <row r="56" spans="2:19" ht="10.5" thickBot="1" x14ac:dyDescent="0.25">
      <c r="B56" s="54"/>
      <c r="C56" s="55"/>
      <c r="D56" s="55"/>
      <c r="E56" s="55"/>
      <c r="F56" s="55"/>
      <c r="G56" s="55"/>
      <c r="H56" s="55"/>
      <c r="I56" s="55"/>
      <c r="J56" s="55"/>
      <c r="K56" s="55"/>
      <c r="L56" s="55"/>
      <c r="M56" s="55"/>
      <c r="N56" s="55"/>
      <c r="O56" s="55"/>
      <c r="P56" s="56"/>
      <c r="R56" s="2"/>
      <c r="S56" s="2"/>
    </row>
    <row r="57" spans="2:19" x14ac:dyDescent="0.2">
      <c r="R57" s="2"/>
      <c r="S57" s="2"/>
    </row>
    <row r="58" spans="2:19" x14ac:dyDescent="0.2">
      <c r="R58" s="2"/>
      <c r="S58" s="2"/>
    </row>
    <row r="59" spans="2:19" x14ac:dyDescent="0.2">
      <c r="R59" s="2"/>
      <c r="S59" s="2"/>
    </row>
    <row r="60" spans="2:19" x14ac:dyDescent="0.2">
      <c r="R60" s="2"/>
      <c r="S60" s="2"/>
    </row>
    <row r="61" spans="2:19" x14ac:dyDescent="0.2">
      <c r="R61" s="2"/>
      <c r="S61" s="2"/>
    </row>
    <row r="62" spans="2:19" x14ac:dyDescent="0.2">
      <c r="R62" s="2"/>
      <c r="S62" s="2"/>
    </row>
    <row r="63" spans="2:19" x14ac:dyDescent="0.2">
      <c r="R63" s="2"/>
      <c r="S63" s="2"/>
    </row>
    <row r="64" spans="2:19" ht="10.5" x14ac:dyDescent="0.25">
      <c r="R64" s="43"/>
      <c r="S64" s="2"/>
    </row>
    <row r="65" spans="18:19" x14ac:dyDescent="0.2">
      <c r="R65" s="2"/>
      <c r="S65" s="2"/>
    </row>
    <row r="66" spans="18:19" x14ac:dyDescent="0.2">
      <c r="R66" s="2"/>
      <c r="S66" s="2"/>
    </row>
    <row r="67" spans="18:19" x14ac:dyDescent="0.2">
      <c r="R67" s="2"/>
      <c r="S67" s="2"/>
    </row>
    <row r="68" spans="18:19" x14ac:dyDescent="0.2">
      <c r="R68" s="2"/>
      <c r="S68" s="2"/>
    </row>
    <row r="69" spans="18:19" x14ac:dyDescent="0.2">
      <c r="R69" s="2"/>
      <c r="S69" s="2"/>
    </row>
    <row r="70" spans="18:19" x14ac:dyDescent="0.2">
      <c r="R70" s="2"/>
      <c r="S70" s="2"/>
    </row>
    <row r="71" spans="18:19" x14ac:dyDescent="0.2">
      <c r="R71" s="2"/>
      <c r="S71" s="2"/>
    </row>
    <row r="72" spans="18:19" x14ac:dyDescent="0.2">
      <c r="R72" s="2"/>
      <c r="S72" s="2"/>
    </row>
    <row r="73" spans="18:19" x14ac:dyDescent="0.2">
      <c r="R73" s="2"/>
      <c r="S73" s="2"/>
    </row>
    <row r="74" spans="18:19" x14ac:dyDescent="0.2">
      <c r="R74" s="2"/>
      <c r="S74" s="2"/>
    </row>
    <row r="75" spans="18:19" x14ac:dyDescent="0.2">
      <c r="R75" s="2"/>
      <c r="S75" s="2"/>
    </row>
    <row r="76" spans="18:19" x14ac:dyDescent="0.2">
      <c r="R76" s="2"/>
      <c r="S76" s="2"/>
    </row>
    <row r="77" spans="18:19" x14ac:dyDescent="0.2">
      <c r="R77" s="2"/>
      <c r="S77" s="2"/>
    </row>
    <row r="78" spans="18:19" x14ac:dyDescent="0.2">
      <c r="R78" s="2"/>
      <c r="S78" s="2"/>
    </row>
    <row r="79" spans="18:19" x14ac:dyDescent="0.2">
      <c r="R79" s="2"/>
      <c r="S79" s="2"/>
    </row>
    <row r="80" spans="18:19" x14ac:dyDescent="0.2">
      <c r="R80" s="2"/>
      <c r="S80" s="2"/>
    </row>
    <row r="81" spans="18:19" x14ac:dyDescent="0.2">
      <c r="R81" s="2"/>
      <c r="S81" s="2"/>
    </row>
    <row r="82" spans="18:19" x14ac:dyDescent="0.2">
      <c r="R82" s="2"/>
      <c r="S82" s="2"/>
    </row>
    <row r="83" spans="18:19" x14ac:dyDescent="0.2">
      <c r="R83" s="2"/>
      <c r="S83" s="2"/>
    </row>
    <row r="84" spans="18:19" x14ac:dyDescent="0.2">
      <c r="R84" s="2"/>
      <c r="S84" s="2"/>
    </row>
  </sheetData>
  <mergeCells count="2">
    <mergeCell ref="D3:E3"/>
    <mergeCell ref="B1:D1"/>
  </mergeCells>
  <phoneticPr fontId="2" type="noConversion"/>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59"/>
  <sheetViews>
    <sheetView workbookViewId="0">
      <selection activeCell="D2" sqref="D2"/>
    </sheetView>
  </sheetViews>
  <sheetFormatPr baseColWidth="10" defaultColWidth="11.453125" defaultRowHeight="12.5" x14ac:dyDescent="0.25"/>
  <cols>
    <col min="1" max="1" width="11.453125" customWidth="1"/>
    <col min="2" max="2" width="4.26953125" customWidth="1"/>
    <col min="3" max="3" width="19.7265625" bestFit="1" customWidth="1"/>
    <col min="4" max="4" width="13.1796875" bestFit="1" customWidth="1"/>
    <col min="5" max="5" width="11.453125" customWidth="1"/>
    <col min="6" max="6" width="8.7265625" bestFit="1" customWidth="1"/>
    <col min="7" max="7" width="13" bestFit="1" customWidth="1"/>
    <col min="8" max="8" width="36.7265625" customWidth="1"/>
    <col min="9" max="10" width="11.453125" customWidth="1"/>
    <col min="11" max="11" width="13.1796875" bestFit="1" customWidth="1"/>
  </cols>
  <sheetData>
    <row r="1" spans="1:11" ht="13" thickBot="1" x14ac:dyDescent="0.3"/>
    <row r="2" spans="1:11" x14ac:dyDescent="0.25">
      <c r="B2" s="331"/>
      <c r="C2" s="332"/>
      <c r="D2" s="332"/>
      <c r="E2" s="332"/>
      <c r="F2" s="333"/>
    </row>
    <row r="3" spans="1:11" x14ac:dyDescent="0.25">
      <c r="B3" s="334"/>
      <c r="C3" s="326" t="s">
        <v>359</v>
      </c>
      <c r="D3" s="243">
        <f>UserInterface!I47</f>
        <v>100</v>
      </c>
      <c r="E3" s="327" t="s">
        <v>360</v>
      </c>
      <c r="F3" s="335"/>
    </row>
    <row r="4" spans="1:11" x14ac:dyDescent="0.25">
      <c r="B4" s="334"/>
      <c r="C4" s="326" t="s">
        <v>659</v>
      </c>
      <c r="D4" s="243">
        <v>6371000</v>
      </c>
      <c r="E4" s="327" t="s">
        <v>360</v>
      </c>
      <c r="F4" s="335"/>
    </row>
    <row r="5" spans="1:11" x14ac:dyDescent="0.25">
      <c r="B5" s="334"/>
      <c r="C5" s="326" t="s">
        <v>363</v>
      </c>
      <c r="D5" s="243">
        <f ca="1">IF(ISERROR(SEARCHB("2,4",SelectionTables!B5)),5,2.4)</f>
        <v>5</v>
      </c>
      <c r="E5" s="327" t="s">
        <v>362</v>
      </c>
      <c r="F5" s="335"/>
      <c r="H5" s="630"/>
    </row>
    <row r="6" spans="1:11" x14ac:dyDescent="0.25">
      <c r="B6" s="334"/>
      <c r="C6" s="326" t="s">
        <v>361</v>
      </c>
      <c r="D6" s="328">
        <f ca="1">17.31*SQRT(((D3/2)*(D3/2))/(((D5*1000)*D3)))</f>
        <v>1.2240018382339137</v>
      </c>
      <c r="E6" s="327" t="s">
        <v>360</v>
      </c>
      <c r="F6" s="335"/>
    </row>
    <row r="7" spans="1:11" x14ac:dyDescent="0.25">
      <c r="B7" s="334"/>
      <c r="C7" s="326" t="s">
        <v>660</v>
      </c>
      <c r="D7" s="328">
        <f>D3^2/(2*D4)</f>
        <v>7.8480615288023861E-4</v>
      </c>
      <c r="E7" s="327" t="s">
        <v>360</v>
      </c>
      <c r="F7" s="335"/>
    </row>
    <row r="8" spans="1:11" ht="13" thickBot="1" x14ac:dyDescent="0.3">
      <c r="B8" s="334"/>
      <c r="C8" s="122"/>
      <c r="D8" s="122"/>
      <c r="E8" s="122"/>
      <c r="F8" s="335"/>
    </row>
    <row r="9" spans="1:11" ht="13" thickBot="1" x14ac:dyDescent="0.3">
      <c r="B9" s="334"/>
      <c r="C9" s="329" t="s">
        <v>364</v>
      </c>
      <c r="D9" s="330">
        <f ca="1">D6+D7</f>
        <v>1.2247866443867941</v>
      </c>
      <c r="E9" s="122"/>
      <c r="F9" s="335"/>
    </row>
    <row r="10" spans="1:11" ht="13" thickBot="1" x14ac:dyDescent="0.3">
      <c r="B10" s="336"/>
      <c r="C10" s="147"/>
      <c r="D10" s="147"/>
      <c r="E10" s="147"/>
      <c r="F10" s="337"/>
    </row>
    <row r="12" spans="1:11" ht="13" x14ac:dyDescent="0.3">
      <c r="C12" s="119" t="s">
        <v>374</v>
      </c>
      <c r="D12" s="119" t="s">
        <v>371</v>
      </c>
      <c r="F12" s="119" t="s">
        <v>139</v>
      </c>
      <c r="H12" s="119" t="s">
        <v>375</v>
      </c>
      <c r="K12" s="119" t="s">
        <v>376</v>
      </c>
    </row>
    <row r="13" spans="1:11" ht="12.75" customHeight="1" x14ac:dyDescent="0.3">
      <c r="A13" s="862" t="s">
        <v>372</v>
      </c>
      <c r="B13" s="863"/>
      <c r="C13" s="379">
        <f ca="1">Calc!H66</f>
        <v>21.6</v>
      </c>
      <c r="D13" s="344">
        <f ca="1">Calc!J66</f>
        <v>0.87023653149570634</v>
      </c>
      <c r="E13" s="376" t="b">
        <f t="shared" ref="E13:E23" ca="1" si="0">IF(D13="",FALSE,D13&gt;=($D$3/1000))</f>
        <v>1</v>
      </c>
      <c r="F13" s="347">
        <f ca="1">IF(ISERROR(MATCH(TRUE,E13:E23,0)),"",MATCH(TRUE,E13:E23,0))</f>
        <v>1</v>
      </c>
      <c r="G13" s="150"/>
      <c r="H13" s="350" t="s">
        <v>374</v>
      </c>
      <c r="I13" s="351" t="str">
        <f ca="1">"C13:C"&amp;12+SUM(F13:F23)</f>
        <v>C13:C18</v>
      </c>
      <c r="K13" s="383">
        <f ca="1">IF(E13=FALSE,"",MAX(INDIRECT(I13)))</f>
        <v>173.39999999999998</v>
      </c>
    </row>
    <row r="14" spans="1:11" x14ac:dyDescent="0.25">
      <c r="C14" s="380">
        <f ca="1">Calc!H67</f>
        <v>43.2</v>
      </c>
      <c r="D14" s="345">
        <f ca="1">Calc!J67</f>
        <v>0.61608028388945923</v>
      </c>
      <c r="E14" s="377" t="b">
        <f t="shared" ca="1" si="0"/>
        <v>1</v>
      </c>
      <c r="F14" s="348">
        <f ca="1">IF(ISERROR(MATCH(TRUE,OFFSET($E$13:$E$23,SUM($F$13:$F13),0,11-SUM($F$13:$F13)),0)),"",MATCH(TRUE,OFFSET($E$13:$E$23,SUM($F$13:$F13),0,11-SUM($F$13:$F13)),0))</f>
        <v>1</v>
      </c>
      <c r="G14" s="150"/>
      <c r="H14" s="352" t="s">
        <v>73</v>
      </c>
      <c r="I14" s="353" t="str">
        <f ca="1">"D13:D"&amp;12+SUM(F13:F23)</f>
        <v>D13:D18</v>
      </c>
    </row>
    <row r="15" spans="1:11" x14ac:dyDescent="0.25">
      <c r="C15" s="380">
        <f ca="1">Calc!H68</f>
        <v>65.099999999999994</v>
      </c>
      <c r="D15" s="345">
        <f ca="1">Calc!J68</f>
        <v>0.48936996435034835</v>
      </c>
      <c r="E15" s="377" t="b">
        <f t="shared" ca="1" si="0"/>
        <v>1</v>
      </c>
      <c r="F15" s="348">
        <f ca="1">IF(ISERROR(MATCH(TRUE,OFFSET($E$13:$E$23,SUM($F$13:$F14),0,11-SUM($F$13:$F14)),0)),"",MATCH(TRUE,OFFSET($E$13:$E$23,SUM($F$13:$F14),0,11-SUM($F$13:$F14)),0))</f>
        <v>1</v>
      </c>
      <c r="G15" s="150"/>
      <c r="H15" s="152"/>
      <c r="I15" s="152"/>
    </row>
    <row r="16" spans="1:11" x14ac:dyDescent="0.25">
      <c r="C16" s="380">
        <f ca="1">Calc!H69</f>
        <v>86.699999999999989</v>
      </c>
      <c r="D16" s="345">
        <f ca="1">Calc!J69</f>
        <v>0.275192954261129</v>
      </c>
      <c r="E16" s="377" t="b">
        <f t="shared" ca="1" si="0"/>
        <v>1</v>
      </c>
      <c r="F16" s="348">
        <f ca="1">IF(ISERROR(MATCH(TRUE,OFFSET($E$13:$E$23,SUM($F$13:$F15),0,11-SUM($F$13:$F15)),0)),"",MATCH(TRUE,OFFSET($E$13:$E$23,SUM($F$13:$F15),0,11-SUM($F$13:$F15)),0))</f>
        <v>1</v>
      </c>
      <c r="G16" s="150"/>
      <c r="H16" s="152"/>
      <c r="I16" s="152"/>
    </row>
    <row r="17" spans="1:11" x14ac:dyDescent="0.25">
      <c r="C17" s="380">
        <f ca="1">Calc!H70</f>
        <v>129.89999999999998</v>
      </c>
      <c r="D17" s="345">
        <f ca="1">Calc!J70</f>
        <v>0.15475237058225047</v>
      </c>
      <c r="E17" s="377" t="b">
        <f t="shared" ca="1" si="0"/>
        <v>1</v>
      </c>
      <c r="F17" s="348">
        <f ca="1">IF(ISERROR(MATCH(TRUE,OFFSET($E$13:$E$23,SUM($F$13:$F16),0,11-SUM($F$13:$F16)),0)),"",MATCH(TRUE,OFFSET($E$13:$E$23,SUM($F$13:$F16),0,11-SUM($F$13:$F16)),0))</f>
        <v>1</v>
      </c>
      <c r="G17" s="150"/>
      <c r="H17" s="152"/>
      <c r="I17" s="152"/>
    </row>
    <row r="18" spans="1:11" x14ac:dyDescent="0.25">
      <c r="C18" s="380">
        <f ca="1">Calc!H71</f>
        <v>173.39999999999998</v>
      </c>
      <c r="D18" s="345">
        <f ca="1">Calc!J71</f>
        <v>0.12292417734399674</v>
      </c>
      <c r="E18" s="377" t="b">
        <f t="shared" ca="1" si="0"/>
        <v>1</v>
      </c>
      <c r="F18" s="348">
        <f ca="1">IF(ISERROR(MATCH(TRUE,OFFSET($E$13:$E$23,SUM($F$13:$F17),0,11-SUM($F$13:$F17)),0)),"",MATCH(TRUE,OFFSET($E$13:$E$23,SUM($F$13:$F17),0,11-SUM($F$13:$F17)),0))</f>
        <v>1</v>
      </c>
      <c r="G18" s="150"/>
      <c r="H18" s="152"/>
      <c r="I18" s="152"/>
    </row>
    <row r="19" spans="1:11" x14ac:dyDescent="0.25">
      <c r="C19" s="380">
        <f ca="1">Calc!H72</f>
        <v>195</v>
      </c>
      <c r="D19" s="345">
        <f ca="1">Calc!J72</f>
        <v>9.7642144794591462E-2</v>
      </c>
      <c r="E19" s="377" t="b">
        <f t="shared" ca="1" si="0"/>
        <v>0</v>
      </c>
      <c r="F19" s="348" t="str">
        <f ca="1">IF(ISERROR(MATCH(TRUE,OFFSET($E$13:$E$23,SUM($F$13:$F18),0,11-SUM($F$13:$F18)),0)),"",MATCH(TRUE,OFFSET($E$13:$E$23,SUM($F$13:$F18),0,11-SUM($F$13:$F18)),0))</f>
        <v/>
      </c>
      <c r="G19" s="150"/>
      <c r="H19" s="152"/>
      <c r="I19" s="152"/>
    </row>
    <row r="20" spans="1:11" x14ac:dyDescent="0.25">
      <c r="C20" s="380">
        <f ca="1">Calc!H73</f>
        <v>216.60000000000002</v>
      </c>
      <c r="D20" s="345">
        <f ca="1">Calc!J73</f>
        <v>6.9125344785556667E-2</v>
      </c>
      <c r="E20" s="377" t="b">
        <f t="shared" ca="1" si="0"/>
        <v>0</v>
      </c>
      <c r="F20" s="348" t="str">
        <f ca="1">IF(ISERROR(MATCH(TRUE,OFFSET($E$13:$E$23,SUM($F$13:$F19),0,11-SUM($F$13:$F19)),0)),"",MATCH(TRUE,OFFSET($E$13:$E$23,SUM($F$13:$F19),0,11-SUM($F$13:$F19)),0))</f>
        <v/>
      </c>
      <c r="G20" s="150"/>
      <c r="H20" s="152"/>
      <c r="I20" s="152"/>
    </row>
    <row r="21" spans="1:11" x14ac:dyDescent="0.25">
      <c r="C21" s="380" t="str">
        <f ca="1">Calc!H74</f>
        <v/>
      </c>
      <c r="D21" s="345" t="str">
        <f ca="1">Calc!J74</f>
        <v/>
      </c>
      <c r="E21" s="377" t="b">
        <f t="shared" ca="1" si="0"/>
        <v>0</v>
      </c>
      <c r="F21" s="348" t="str">
        <f ca="1">IF(ISERROR(MATCH(TRUE,OFFSET($E$13:$E$23,SUM($F$13:$F20),0,11-SUM($F$13:$F20)),0)),"",MATCH(TRUE,OFFSET($E$13:$E$23,SUM($F$13:$F20),0,11-SUM($F$13:$F20)),0))</f>
        <v/>
      </c>
      <c r="G21" s="150"/>
      <c r="H21" s="152"/>
      <c r="I21" s="152"/>
    </row>
    <row r="22" spans="1:11" x14ac:dyDescent="0.25">
      <c r="C22" s="380" t="str">
        <f ca="1">Calc!H75</f>
        <v/>
      </c>
      <c r="D22" s="345" t="str">
        <f ca="1">Calc!J75</f>
        <v/>
      </c>
      <c r="E22" s="377" t="b">
        <f t="shared" ca="1" si="0"/>
        <v>0</v>
      </c>
      <c r="F22" s="348" t="str">
        <f ca="1">IF(ISERROR(MATCH(TRUE,OFFSET($E$13:$E$23,SUM($F$13:$F21),0,11-SUM($F$13:$F21)),0)),"",MATCH(TRUE,OFFSET($E$13:$E$23,SUM($F$13:$F21),0,11-SUM($F$13:$F21)),0))</f>
        <v/>
      </c>
      <c r="G22" s="150"/>
      <c r="H22" s="152"/>
      <c r="I22" s="152"/>
    </row>
    <row r="23" spans="1:11" x14ac:dyDescent="0.25">
      <c r="C23" s="381" t="str">
        <f ca="1">Calc!H76</f>
        <v/>
      </c>
      <c r="D23" s="346" t="str">
        <f ca="1">Calc!J76</f>
        <v/>
      </c>
      <c r="E23" s="378" t="b">
        <f t="shared" ca="1" si="0"/>
        <v>0</v>
      </c>
      <c r="F23" s="349" t="str">
        <f ca="1">IF(ISERROR(MATCH(TRUE,OFFSET($E$13:$E$23,SUM($F$13:$F22),0,11-SUM($F$13:$F22)),0)),"",MATCH(TRUE,OFFSET($E$13:$E$23,SUM($F$13:$F22),0,11-SUM($F$13:$F22)),0))</f>
        <v/>
      </c>
      <c r="G23" s="150"/>
      <c r="H23" s="152"/>
      <c r="I23" s="152"/>
    </row>
    <row r="24" spans="1:11" ht="13" x14ac:dyDescent="0.3">
      <c r="C24" s="382"/>
      <c r="E24" s="146"/>
      <c r="F24" s="150"/>
      <c r="G24" s="150"/>
      <c r="H24" s="119" t="s">
        <v>375</v>
      </c>
      <c r="I24" s="152"/>
      <c r="K24" s="119" t="s">
        <v>376</v>
      </c>
    </row>
    <row r="25" spans="1:11" ht="13" x14ac:dyDescent="0.3">
      <c r="A25" s="862" t="s">
        <v>373</v>
      </c>
      <c r="B25" s="862"/>
      <c r="C25" s="379">
        <f ca="1">Calc!H77</f>
        <v>45</v>
      </c>
      <c r="D25" s="344">
        <f ca="1">Calc!J77</f>
        <v>0.97642144794591401</v>
      </c>
      <c r="E25" s="376" t="b">
        <f t="shared" ref="E25:E35" ca="1" si="1">IF(D25="",FALSE,D25&gt;=($D$3/1000))</f>
        <v>1</v>
      </c>
      <c r="F25" s="347">
        <f ca="1">IF(ISERROR(MATCH(TRUE,E25:E35,0)),"",MATCH(TRUE,E25:E35,0))</f>
        <v>1</v>
      </c>
      <c r="G25" s="150"/>
      <c r="H25" s="350" t="s">
        <v>374</v>
      </c>
      <c r="I25" s="351" t="str">
        <f ca="1">"C25:C"&amp;24+SUM(F25:F35)</f>
        <v>C25:C31</v>
      </c>
      <c r="K25" s="383">
        <f ca="1">IF(E25=FALSE,"",MAX(INDIRECT(I25)))</f>
        <v>405</v>
      </c>
    </row>
    <row r="26" spans="1:11" x14ac:dyDescent="0.25">
      <c r="C26" s="380">
        <f ca="1">Calc!H78</f>
        <v>90</v>
      </c>
      <c r="D26" s="345">
        <f ca="1">Calc!J78</f>
        <v>0.77559912509380546</v>
      </c>
      <c r="E26" s="377" t="b">
        <f t="shared" ca="1" si="1"/>
        <v>1</v>
      </c>
      <c r="F26" s="348">
        <f ca="1">IF(ISERROR(MATCH(TRUE,OFFSET($E$25:$E$35,SUM($F$25:$F25),0,11-SUM($F$25:$F25)),0)),"",MATCH(TRUE,OFFSET($E$25:$E$35,SUM($F$25:$F25),0,11-SUM($F$25:$F25)),0))</f>
        <v>1</v>
      </c>
      <c r="G26" s="150"/>
      <c r="H26" s="352" t="s">
        <v>73</v>
      </c>
      <c r="I26" s="353" t="str">
        <f ca="1">"D25:D"&amp;24+SUM(F25:F35)</f>
        <v>D25:D31</v>
      </c>
    </row>
    <row r="27" spans="1:11" x14ac:dyDescent="0.25">
      <c r="C27" s="380">
        <f ca="1">Calc!H79</f>
        <v>135</v>
      </c>
      <c r="D27" s="345">
        <f ca="1">Calc!J79</f>
        <v>0.43615143982172577</v>
      </c>
      <c r="E27" s="377" t="b">
        <f t="shared" ca="1" si="1"/>
        <v>1</v>
      </c>
      <c r="F27" s="348">
        <f ca="1">IF(ISERROR(MATCH(TRUE,OFFSET($E$25:$E$35,SUM($F$25:$F26),0,11-SUM($F$25:$F26)),0)),"",MATCH(TRUE,OFFSET($E$25:$E$35,SUM($F$25:$F26),0,11-SUM($F$25:$F26)),0))</f>
        <v>1</v>
      </c>
      <c r="G27" s="150"/>
      <c r="H27" s="152"/>
      <c r="I27" s="152"/>
    </row>
    <row r="28" spans="1:11" x14ac:dyDescent="0.25">
      <c r="C28" s="380">
        <f ca="1">Calc!H80</f>
        <v>180</v>
      </c>
      <c r="D28" s="345">
        <f ca="1">Calc!J80</f>
        <v>0.24526597865302802</v>
      </c>
      <c r="E28" s="377" t="b">
        <f t="shared" ca="1" si="1"/>
        <v>1</v>
      </c>
      <c r="F28" s="348">
        <f ca="1">IF(ISERROR(MATCH(TRUE,OFFSET($E$25:$E$35,SUM($F$25:$F27),0,11-SUM($F$25:$F27)),0)),"",MATCH(TRUE,OFFSET($E$25:$E$35,SUM($F$25:$F27),0,11-SUM($F$25:$F27)),0))</f>
        <v>1</v>
      </c>
      <c r="G28" s="150"/>
      <c r="H28" s="152"/>
      <c r="I28" s="152"/>
    </row>
    <row r="29" spans="1:11" x14ac:dyDescent="0.25">
      <c r="C29" s="380">
        <f ca="1">Calc!H81</f>
        <v>270</v>
      </c>
      <c r="D29" s="345">
        <f ca="1">Calc!J81</f>
        <v>0.19482169186138323</v>
      </c>
      <c r="E29" s="377" t="b">
        <f t="shared" ca="1" si="1"/>
        <v>1</v>
      </c>
      <c r="F29" s="348">
        <f ca="1">IF(ISERROR(MATCH(TRUE,OFFSET($E$25:$E$35,SUM($F$25:$F28),0,11-SUM($F$25:$F28)),0)),"",MATCH(TRUE,OFFSET($E$25:$E$35,SUM($F$25:$F28),0,11-SUM($F$25:$F28)),0))</f>
        <v>1</v>
      </c>
      <c r="G29" s="150"/>
      <c r="H29" s="152"/>
      <c r="I29" s="152"/>
    </row>
    <row r="30" spans="1:11" x14ac:dyDescent="0.25">
      <c r="C30" s="380">
        <f ca="1">Calc!H82</f>
        <v>360</v>
      </c>
      <c r="D30" s="345">
        <f ca="1">Calc!J82</f>
        <v>0.15475237058225047</v>
      </c>
      <c r="E30" s="377" t="b">
        <f t="shared" ca="1" si="1"/>
        <v>1</v>
      </c>
      <c r="F30" s="348">
        <f ca="1">IF(ISERROR(MATCH(TRUE,OFFSET($E$25:$E$35,SUM($F$25:$F29),0,11-SUM($F$25:$F29)),0)),"",MATCH(TRUE,OFFSET($E$25:$E$35,SUM($F$25:$F29),0,11-SUM($F$25:$F29)),0))</f>
        <v>1</v>
      </c>
      <c r="G30" s="150"/>
      <c r="H30" s="152"/>
      <c r="I30" s="152"/>
    </row>
    <row r="31" spans="1:11" x14ac:dyDescent="0.25">
      <c r="C31" s="380">
        <f ca="1">Calc!H83</f>
        <v>405</v>
      </c>
      <c r="D31" s="345">
        <f ca="1">Calc!J83</f>
        <v>0.1379231954598516</v>
      </c>
      <c r="E31" s="377" t="b">
        <f t="shared" ca="1" si="1"/>
        <v>1</v>
      </c>
      <c r="F31" s="348">
        <f ca="1">IF(ISERROR(MATCH(TRUE,OFFSET($E$25:$E$35,SUM($F$25:$F30),0,11-SUM($F$25:$F30)),0)),"",MATCH(TRUE,OFFSET($E$25:$E$35,SUM($F$25:$F30),0,11-SUM($F$25:$F30)),0))</f>
        <v>1</v>
      </c>
      <c r="G31" s="150"/>
      <c r="H31" s="152"/>
      <c r="I31" s="152"/>
    </row>
    <row r="32" spans="1:11" x14ac:dyDescent="0.25">
      <c r="C32" s="380">
        <f ca="1">Calc!H84</f>
        <v>450</v>
      </c>
      <c r="D32" s="345">
        <f ca="1">Calc!J84</f>
        <v>7.7559912509380532E-2</v>
      </c>
      <c r="E32" s="377" t="b">
        <f t="shared" ca="1" si="1"/>
        <v>0</v>
      </c>
      <c r="F32" s="348" t="str">
        <f ca="1">IF(ISERROR(MATCH(TRUE,OFFSET($E$25:$E$35,SUM($F$25:$F31),0,11-SUM($F$25:$F31)),0)),"",MATCH(TRUE,OFFSET($E$25:$E$35,SUM($F$25:$F31),0,11-SUM($F$25:$F31)),0))</f>
        <v/>
      </c>
      <c r="G32" s="152"/>
      <c r="H32" s="152"/>
      <c r="I32" s="152"/>
    </row>
    <row r="33" spans="1:11" x14ac:dyDescent="0.25">
      <c r="C33" s="380" t="str">
        <f ca="1">Calc!H85</f>
        <v/>
      </c>
      <c r="D33" s="345" t="str">
        <f ca="1">Calc!J85</f>
        <v/>
      </c>
      <c r="E33" s="377" t="b">
        <f t="shared" ca="1" si="1"/>
        <v>0</v>
      </c>
      <c r="F33" s="348" t="str">
        <f ca="1">IF(ISERROR(MATCH(TRUE,OFFSET($E$25:$E$35,SUM($F$25:$F32),0,11-SUM($F$25:$F32)),0)),"",MATCH(TRUE,OFFSET($E$25:$E$35,SUM($F$25:$F32),0,11-SUM($F$25:$F32)),0))</f>
        <v/>
      </c>
      <c r="G33" s="152"/>
      <c r="H33" s="152"/>
      <c r="I33" s="152"/>
    </row>
    <row r="34" spans="1:11" x14ac:dyDescent="0.25">
      <c r="C34" s="380" t="str">
        <f ca="1">Calc!H86</f>
        <v/>
      </c>
      <c r="D34" s="345" t="str">
        <f ca="1">Calc!J86</f>
        <v/>
      </c>
      <c r="E34" s="377" t="b">
        <f t="shared" ca="1" si="1"/>
        <v>0</v>
      </c>
      <c r="F34" s="348" t="str">
        <f ca="1">IF(ISERROR(MATCH(TRUE,OFFSET($E$25:$E$35,SUM($F$25:$F33),0,11-SUM($F$25:$F33)),0)),"",MATCH(TRUE,OFFSET($E$25:$E$35,SUM($F$25:$F33),0,11-SUM($F$25:$F33)),0))</f>
        <v/>
      </c>
      <c r="G34" s="152"/>
      <c r="H34" s="152"/>
      <c r="I34" s="152"/>
    </row>
    <row r="35" spans="1:11" x14ac:dyDescent="0.25">
      <c r="C35" s="381" t="str">
        <f ca="1">Calc!H87</f>
        <v/>
      </c>
      <c r="D35" s="346" t="str">
        <f ca="1">Calc!J87</f>
        <v/>
      </c>
      <c r="E35" s="378" t="b">
        <f t="shared" ca="1" si="1"/>
        <v>0</v>
      </c>
      <c r="F35" s="349" t="str">
        <f ca="1">IF(ISERROR(MATCH(TRUE,OFFSET($E$25:$E$35,SUM($F$25:$F34),0,11-SUM($F$25:$F34)),0)),"",MATCH(TRUE,OFFSET($E$25:$E$35,SUM($F$25:$F34),0,11-SUM($F$25:$F34)),0))</f>
        <v/>
      </c>
      <c r="G35" s="152"/>
      <c r="H35" s="152"/>
      <c r="I35" s="152"/>
    </row>
    <row r="36" spans="1:11" ht="13" x14ac:dyDescent="0.3">
      <c r="C36" s="343"/>
      <c r="D36" s="152"/>
      <c r="E36" s="152"/>
      <c r="F36" s="152"/>
      <c r="G36" s="152"/>
      <c r="H36" s="119" t="s">
        <v>375</v>
      </c>
      <c r="I36" s="152"/>
      <c r="K36" s="119" t="s">
        <v>376</v>
      </c>
    </row>
    <row r="37" spans="1:11" ht="13" x14ac:dyDescent="0.3">
      <c r="A37" s="864" t="s">
        <v>581</v>
      </c>
      <c r="B37" s="864"/>
      <c r="C37" s="379">
        <f ca="1">Calc!H88</f>
        <v>97.5</v>
      </c>
      <c r="D37" s="344">
        <f ca="1">Calc!J88</f>
        <v>0.87023653149570634</v>
      </c>
      <c r="E37" s="376" t="b">
        <f t="shared" ref="E37:E47" ca="1" si="2">IF(D37="",FALSE,D37&gt;=($D$3/1000))</f>
        <v>1</v>
      </c>
      <c r="F37" s="347">
        <f ca="1">IF(ISERROR(MATCH(TRUE,E37:E47,0)),"",MATCH(TRUE,E37:E47,0))</f>
        <v>1</v>
      </c>
      <c r="G37" s="152"/>
      <c r="H37" s="350" t="s">
        <v>374</v>
      </c>
      <c r="I37" s="351" t="str">
        <f ca="1">"C37:C"&amp;36+SUM(F37:F47)</f>
        <v>C37:C42</v>
      </c>
      <c r="K37" s="383">
        <f ca="1">IF(E37=FALSE,"",MAX(INDIRECT(I37)))</f>
        <v>780</v>
      </c>
    </row>
    <row r="38" spans="1:11" x14ac:dyDescent="0.25">
      <c r="C38" s="380">
        <f ca="1">Calc!H89</f>
        <v>195</v>
      </c>
      <c r="D38" s="345">
        <f ca="1">Calc!J89</f>
        <v>0.69125344785556542</v>
      </c>
      <c r="E38" s="377" t="b">
        <f t="shared" ca="1" si="2"/>
        <v>1</v>
      </c>
      <c r="F38" s="348">
        <f ca="1">IF(ISERROR(MATCH(TRUE,OFFSET($E$37:$E$47,SUM($F$37:$F37),0,11-SUM($F$37:$F37)),0)),"",MATCH(TRUE,OFFSET($E$37:$E$47,SUM($F$37:$F37),0,11-SUM($F$37:$F37)),0))</f>
        <v>1</v>
      </c>
      <c r="G38" s="152"/>
      <c r="H38" s="352" t="s">
        <v>73</v>
      </c>
      <c r="I38" s="353" t="str">
        <f ca="1">"D37:D"&amp;36+SUM(F37:F47)</f>
        <v>D37:D42</v>
      </c>
    </row>
    <row r="39" spans="1:11" x14ac:dyDescent="0.25">
      <c r="C39" s="380">
        <f ca="1">Calc!H90</f>
        <v>292.5</v>
      </c>
      <c r="D39" s="345">
        <f ca="1">Calc!J90</f>
        <v>0.54908213098218506</v>
      </c>
      <c r="E39" s="377" t="b">
        <f t="shared" ca="1" si="2"/>
        <v>1</v>
      </c>
      <c r="F39" s="348">
        <f ca="1">IF(ISERROR(MATCH(TRUE,OFFSET($E$37:$E$47,SUM($F$37:$F38),0,11-SUM($F$37:$F38)),0)),"",MATCH(TRUE,OFFSET($E$37:$E$47,SUM($F$37:$F38),0,11-SUM($F$37:$F38)),0))</f>
        <v>1</v>
      </c>
      <c r="G39" s="152"/>
      <c r="H39" s="152"/>
      <c r="I39" s="152"/>
    </row>
    <row r="40" spans="1:11" x14ac:dyDescent="0.25">
      <c r="C40" s="380">
        <f ca="1">Calc!H91</f>
        <v>390</v>
      </c>
      <c r="D40" s="345">
        <f ca="1">Calc!J91</f>
        <v>0.34644740326604517</v>
      </c>
      <c r="E40" s="377" t="b">
        <f t="shared" ca="1" si="2"/>
        <v>1</v>
      </c>
      <c r="F40" s="348">
        <f ca="1">IF(ISERROR(MATCH(TRUE,OFFSET($E$37:$E$47,SUM($F$37:$F39),0,11-SUM($F$37:$F39)),0)),"",MATCH(TRUE,OFFSET($E$37:$E$47,SUM($F$37:$F39),0,11-SUM($F$37:$F39)),0))</f>
        <v>1</v>
      </c>
    </row>
    <row r="41" spans="1:11" x14ac:dyDescent="0.25">
      <c r="C41" s="380">
        <f ca="1">Calc!H92</f>
        <v>585</v>
      </c>
      <c r="D41" s="345">
        <f ca="1">Calc!J92</f>
        <v>0.2185935335668025</v>
      </c>
      <c r="E41" s="377" t="b">
        <f t="shared" ca="1" si="2"/>
        <v>1</v>
      </c>
      <c r="F41" s="348">
        <f ca="1">IF(ISERROR(MATCH(TRUE,OFFSET($E$37:$E$47,SUM($F$37:$F40),0,11-SUM($F$37:$F40)),0)),"",MATCH(TRUE,OFFSET($E$37:$E$47,SUM($F$37:$F40),0,11-SUM($F$37:$F40)),0))</f>
        <v>1</v>
      </c>
    </row>
    <row r="42" spans="1:11" x14ac:dyDescent="0.25">
      <c r="C42" s="380">
        <f ca="1">Calc!H93</f>
        <v>780</v>
      </c>
      <c r="D42" s="345">
        <f ca="1">Calc!J93</f>
        <v>0.12292417734399674</v>
      </c>
      <c r="E42" s="377" t="b">
        <f t="shared" ca="1" si="2"/>
        <v>1</v>
      </c>
      <c r="F42" s="348">
        <f ca="1">IF(ISERROR(MATCH(TRUE,OFFSET($E$37:$E$47,SUM($F$37:$F41),0,11-SUM($F$37:$F41)),0)),"",MATCH(TRUE,OFFSET($E$37:$E$47,SUM($F$37:$F41),0,11-SUM($F$37:$F41)),0))</f>
        <v>1</v>
      </c>
    </row>
    <row r="43" spans="1:11" x14ac:dyDescent="0.25">
      <c r="C43" s="380">
        <f ca="1">Calc!H94</f>
        <v>877.5</v>
      </c>
      <c r="D43" s="345">
        <f ca="1">Calc!J94</f>
        <v>8.7023653149570709E-2</v>
      </c>
      <c r="E43" s="377" t="b">
        <f t="shared" ca="1" si="2"/>
        <v>0</v>
      </c>
      <c r="F43" s="348" t="str">
        <f ca="1">IF(ISERROR(MATCH(TRUE,OFFSET($E$37:$E$47,SUM($F$37:$F42),0,11-SUM($F$37:$F42)),0)),"",MATCH(TRUE,OFFSET($E$37:$E$47,SUM($F$37:$F42),0,11-SUM($F$37:$F42)),0))</f>
        <v/>
      </c>
    </row>
    <row r="44" spans="1:11" x14ac:dyDescent="0.25">
      <c r="C44" s="380">
        <f ca="1">Calc!H95</f>
        <v>975</v>
      </c>
      <c r="D44" s="345">
        <f ca="1">Calc!J95</f>
        <v>8.7023653149570709E-2</v>
      </c>
      <c r="E44" s="377" t="b">
        <f t="shared" ca="1" si="2"/>
        <v>0</v>
      </c>
      <c r="F44" s="348" t="str">
        <f ca="1">IF(ISERROR(MATCH(TRUE,OFFSET($E$37:$E$47,SUM($F$37:$F43),0,11-SUM($F$37:$F43)),0)),"",MATCH(TRUE,OFFSET($E$37:$E$47,SUM($F$37:$F43),0,11-SUM($F$37:$F43)),0))</f>
        <v/>
      </c>
    </row>
    <row r="45" spans="1:11" x14ac:dyDescent="0.25">
      <c r="C45" s="380">
        <f ca="1">Calc!H96</f>
        <v>1170</v>
      </c>
      <c r="D45" s="345">
        <f ca="1">Calc!J96</f>
        <v>4.8936996435034873E-2</v>
      </c>
      <c r="E45" s="377" t="b">
        <f t="shared" ca="1" si="2"/>
        <v>0</v>
      </c>
      <c r="F45" s="348" t="str">
        <f ca="1">IF(ISERROR(MATCH(TRUE,OFFSET($E$37:$E$47,SUM($F$37:$F44),0,11-SUM($F$37:$F44)),0)),"",MATCH(TRUE,OFFSET($E$37:$E$47,SUM($F$37:$F44),0,11-SUM($F$37:$F44)),0))</f>
        <v/>
      </c>
    </row>
    <row r="46" spans="1:11" x14ac:dyDescent="0.25">
      <c r="C46" s="380">
        <f ca="1">Calc!H97</f>
        <v>1299.9000000000001</v>
      </c>
      <c r="D46" s="345">
        <f ca="1">Calc!J97</f>
        <v>3.0877157317486262E-2</v>
      </c>
      <c r="E46" s="377" t="b">
        <f t="shared" ca="1" si="2"/>
        <v>0</v>
      </c>
      <c r="F46" s="348" t="str">
        <f ca="1">IF(ISERROR(MATCH(TRUE,OFFSET($E$37:$E$47,SUM($F$37:$F45),0,11-SUM($F$37:$F45)),0)),"",MATCH(TRUE,OFFSET($E$37:$E$47,SUM($F$37:$F45),0,11-SUM($F$37:$F45)),0))</f>
        <v/>
      </c>
    </row>
    <row r="47" spans="1:11" x14ac:dyDescent="0.25">
      <c r="C47" s="381" t="str">
        <f ca="1">Calc!H98</f>
        <v/>
      </c>
      <c r="D47" s="346" t="str">
        <f ca="1">Calc!J98</f>
        <v/>
      </c>
      <c r="E47" s="378" t="b">
        <f t="shared" ca="1" si="2"/>
        <v>0</v>
      </c>
      <c r="F47" s="349" t="str">
        <f ca="1">IF(ISERROR(MATCH(TRUE,OFFSET($E$37:$E$47,SUM($F$37:$F46),0,11-SUM($F$37:$F46)),0)),"",MATCH(TRUE,OFFSET($E$37:$E$47,SUM($F$37:$F46),0,11-SUM($F$37:$F46)),0))</f>
        <v/>
      </c>
    </row>
    <row r="48" spans="1:11" ht="13" x14ac:dyDescent="0.3">
      <c r="H48" s="119" t="s">
        <v>375</v>
      </c>
      <c r="I48" s="152"/>
      <c r="K48" s="119" t="s">
        <v>376</v>
      </c>
    </row>
    <row r="49" spans="1:11" ht="13" x14ac:dyDescent="0.3">
      <c r="A49" s="864" t="s">
        <v>667</v>
      </c>
      <c r="B49" s="864"/>
      <c r="C49" s="379">
        <f ca="1">Calc!H99</f>
        <v>97.5</v>
      </c>
      <c r="D49" s="344">
        <f ca="1">Calc!J99</f>
        <v>3.8872037990949677E-5</v>
      </c>
      <c r="E49" s="376" t="b">
        <f t="shared" ref="E49:E59" ca="1" si="3">IF(D49="",FALSE,D49&gt;=($D$3/1000))</f>
        <v>0</v>
      </c>
      <c r="F49" s="347" t="str">
        <f ca="1">IF(ISERROR(MATCH(TRUE,E49:E59,0)),"",MATCH(TRUE,E49:E59,0))</f>
        <v/>
      </c>
      <c r="H49" s="350" t="s">
        <v>374</v>
      </c>
      <c r="I49" s="351" t="str">
        <f ca="1">"C49:C"&amp;48+SUM(F49:F59)</f>
        <v>C49:C48</v>
      </c>
      <c r="K49" s="383" t="str">
        <f ca="1">IF(E49=FALSE,"",MAX(INDIRECT(I49)))</f>
        <v/>
      </c>
    </row>
    <row r="50" spans="1:11" x14ac:dyDescent="0.25">
      <c r="C50" s="380">
        <f ca="1">Calc!H100</f>
        <v>195</v>
      </c>
      <c r="D50" s="345">
        <f ca="1">Calc!J100</f>
        <v>3.8872037990949677E-5</v>
      </c>
      <c r="E50" s="377" t="b">
        <f t="shared" ca="1" si="3"/>
        <v>0</v>
      </c>
      <c r="F50" s="348" t="str">
        <f ca="1">IF(ISERROR(MATCH(TRUE,OFFSET($E$49:$E$59,SUM($F$49:$F49),0,11-SUM($F$49:$F49)),0)),"",MATCH(TRUE,OFFSET($E$49:$E$59,SUM($F$49:$F49),0,11-SUM($F$49:$F49)),0))</f>
        <v/>
      </c>
      <c r="H50" s="352" t="s">
        <v>73</v>
      </c>
      <c r="I50" s="353" t="str">
        <f ca="1">"D49:D"&amp;48+SUM(F49:F59)</f>
        <v>D49:D48</v>
      </c>
    </row>
    <row r="51" spans="1:11" x14ac:dyDescent="0.25">
      <c r="C51" s="380">
        <f ca="1">Calc!H101</f>
        <v>292.5</v>
      </c>
      <c r="D51" s="345">
        <f ca="1">Calc!J101</f>
        <v>3.4644740326604493E-5</v>
      </c>
      <c r="E51" s="377" t="b">
        <f t="shared" ca="1" si="3"/>
        <v>0</v>
      </c>
      <c r="F51" s="348" t="str">
        <f ca="1">IF(ISERROR(MATCH(TRUE,OFFSET($E$49:$E$59,SUM($F$49:$F50),0,11-SUM($F$49:$F50)),0)),"",MATCH(TRUE,OFFSET($E$49:$E$59,SUM($F$49:$F50),0,11-SUM($F$49:$F50)),0))</f>
        <v/>
      </c>
    </row>
    <row r="52" spans="1:11" x14ac:dyDescent="0.25">
      <c r="C52" s="380">
        <f ca="1">Calc!H102</f>
        <v>390</v>
      </c>
      <c r="D52" s="345">
        <f ca="1">Calc!J102</f>
        <v>3.4644740326604493E-5</v>
      </c>
      <c r="E52" s="377" t="b">
        <f t="shared" ca="1" si="3"/>
        <v>0</v>
      </c>
      <c r="F52" s="348" t="str">
        <f ca="1">IF(ISERROR(MATCH(TRUE,OFFSET($E$49:$E$59,SUM($F$49:$F51),0,11-SUM($F$49:$F51)),0)),"",MATCH(TRUE,OFFSET($E$49:$E$59,SUM($F$49:$F51),0,11-SUM($F$49:$F51)),0))</f>
        <v/>
      </c>
    </row>
    <row r="53" spans="1:11" x14ac:dyDescent="0.25">
      <c r="C53" s="380">
        <f ca="1">Calc!H103</f>
        <v>585</v>
      </c>
      <c r="D53" s="345">
        <f ca="1">Calc!J103</f>
        <v>3.0877157317486264E-5</v>
      </c>
      <c r="E53" s="377" t="b">
        <f t="shared" ca="1" si="3"/>
        <v>0</v>
      </c>
      <c r="F53" s="348" t="str">
        <f ca="1">IF(ISERROR(MATCH(TRUE,OFFSET($E$49:$E$59,SUM($F$49:$F52),0,11-SUM($F$49:$F52)),0)),"",MATCH(TRUE,OFFSET($E$49:$E$59,SUM($F$49:$F52),0,11-SUM($F$49:$F52)),0))</f>
        <v/>
      </c>
    </row>
    <row r="54" spans="1:11" x14ac:dyDescent="0.25">
      <c r="C54" s="380">
        <f ca="1">Calc!H104</f>
        <v>780</v>
      </c>
      <c r="D54" s="345">
        <f ca="1">Calc!J104</f>
        <v>3.0877157317486264E-5</v>
      </c>
      <c r="E54" s="377" t="b">
        <f t="shared" ca="1" si="3"/>
        <v>0</v>
      </c>
      <c r="F54" s="348" t="str">
        <f ca="1">IF(ISERROR(MATCH(TRUE,OFFSET($E$49:$E$59,SUM($F$49:$F53),0,11-SUM($F$49:$F53)),0)),"",MATCH(TRUE,OFFSET($E$49:$E$59,SUM($F$49:$F53),0,11-SUM($F$49:$F53)),0))</f>
        <v/>
      </c>
    </row>
    <row r="55" spans="1:11" x14ac:dyDescent="0.25">
      <c r="C55" s="380">
        <f ca="1">Calc!H105</f>
        <v>877.5</v>
      </c>
      <c r="D55" s="345">
        <f ca="1">Calc!J105</f>
        <v>2.7519295426112869E-5</v>
      </c>
      <c r="E55" s="377" t="b">
        <f t="shared" ca="1" si="3"/>
        <v>0</v>
      </c>
      <c r="F55" s="348" t="str">
        <f ca="1">IF(ISERROR(MATCH(TRUE,OFFSET($E$49:$E$59,SUM($F$49:$F54),0,11-SUM($F$49:$F54)),0)),"",MATCH(TRUE,OFFSET($E$49:$E$59,SUM($F$49:$F54),0,11-SUM($F$49:$F54)),0))</f>
        <v/>
      </c>
    </row>
    <row r="56" spans="1:11" x14ac:dyDescent="0.25">
      <c r="C56" s="380">
        <f ca="1">Calc!H106</f>
        <v>975</v>
      </c>
      <c r="D56" s="345">
        <f ca="1">Calc!J106</f>
        <v>2.7519295426112869E-5</v>
      </c>
      <c r="E56" s="377" t="b">
        <f t="shared" ca="1" si="3"/>
        <v>0</v>
      </c>
      <c r="F56" s="348" t="str">
        <f ca="1">IF(ISERROR(MATCH(TRUE,OFFSET($E$49:$E$59,SUM($F$49:$F55),0,11-SUM($F$49:$F55)),0)),"",MATCH(TRUE,OFFSET($E$49:$E$59,SUM($F$49:$F55),0,11-SUM($F$49:$F55)),0))</f>
        <v/>
      </c>
    </row>
    <row r="57" spans="1:11" x14ac:dyDescent="0.25">
      <c r="C57" s="380">
        <f ca="1">Calc!H107</f>
        <v>1170</v>
      </c>
      <c r="D57" s="345">
        <f ca="1">Calc!J107</f>
        <v>2.4526597865302789E-5</v>
      </c>
      <c r="E57" s="377" t="b">
        <f t="shared" ca="1" si="3"/>
        <v>0</v>
      </c>
      <c r="F57" s="348" t="str">
        <f ca="1">IF(ISERROR(MATCH(TRUE,OFFSET($E$49:$E$59,SUM($F$49:$F56),0,11-SUM($F$49:$F56)),0)),"",MATCH(TRUE,OFFSET($E$49:$E$59,SUM($F$49:$F56),0,11-SUM($F$49:$F56)),0))</f>
        <v/>
      </c>
    </row>
    <row r="58" spans="1:11" x14ac:dyDescent="0.25">
      <c r="C58" s="380">
        <f ca="1">Calc!H108</f>
        <v>1300.0500000000002</v>
      </c>
      <c r="D58" s="345">
        <f ca="1">Calc!J108</f>
        <v>2.1859353356680235E-5</v>
      </c>
      <c r="E58" s="377" t="b">
        <f t="shared" ca="1" si="3"/>
        <v>0</v>
      </c>
      <c r="F58" s="348" t="str">
        <f ca="1">IF(ISERROR(MATCH(TRUE,OFFSET($E$49:$E$59,SUM($F$49:$F57),0,11-SUM($F$49:$F57)),0)),"",MATCH(TRUE,OFFSET($E$49:$E$59,SUM($F$49:$F57),0,11-SUM($F$49:$F57)),0))</f>
        <v/>
      </c>
    </row>
    <row r="59" spans="1:11" ht="13" thickBot="1" x14ac:dyDescent="0.3">
      <c r="C59" s="381"/>
      <c r="D59" s="346"/>
      <c r="E59" s="378" t="b">
        <f t="shared" si="3"/>
        <v>0</v>
      </c>
      <c r="F59" s="668" t="str">
        <f ca="1">IF(ISERROR(MATCH(TRUE,OFFSET($E$49:$E$59,SUM($F$49:$F58),0,11-SUM($F$49:$F58)),0)),"",MATCH(TRUE,OFFSET($E$49:$E$59,SUM($F$49:$F58),0,11-SUM($F$49:$F58)),0))</f>
        <v/>
      </c>
    </row>
  </sheetData>
  <mergeCells count="4">
    <mergeCell ref="A13:B13"/>
    <mergeCell ref="A25:B25"/>
    <mergeCell ref="A37:B37"/>
    <mergeCell ref="A49:B49"/>
  </mergeCells>
  <phoneticPr fontId="2"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6"/>
  <dimension ref="A1:M183"/>
  <sheetViews>
    <sheetView topLeftCell="A16" workbookViewId="0">
      <selection activeCell="D2" sqref="D2"/>
    </sheetView>
  </sheetViews>
  <sheetFormatPr baseColWidth="10" defaultColWidth="11.453125" defaultRowHeight="10" x14ac:dyDescent="0.2"/>
  <cols>
    <col min="1" max="1" width="3.1796875" style="1" customWidth="1"/>
    <col min="2" max="2" width="16.1796875" style="1" customWidth="1"/>
    <col min="3" max="3" width="14.54296875" style="1" bestFit="1" customWidth="1"/>
    <col min="4" max="4" width="16.81640625" style="1" customWidth="1"/>
    <col min="5" max="5" width="17.1796875" style="1" customWidth="1"/>
    <col min="6" max="6" width="10.453125" style="1" bestFit="1" customWidth="1"/>
    <col min="7" max="7" width="23.7265625" style="1" bestFit="1" customWidth="1"/>
    <col min="8" max="8" width="18" style="1" bestFit="1" customWidth="1"/>
    <col min="9" max="9" width="14.81640625" style="1" customWidth="1"/>
    <col min="10" max="10" width="12.26953125" style="1" bestFit="1" customWidth="1"/>
    <col min="11" max="12" width="16.453125" style="1" bestFit="1" customWidth="1"/>
    <col min="13" max="13" width="16.7265625" style="1" customWidth="1"/>
    <col min="14" max="14" width="11.453125" style="1"/>
    <col min="15" max="15" width="13.54296875" style="1" bestFit="1" customWidth="1"/>
    <col min="16" max="16384" width="11.453125" style="1"/>
  </cols>
  <sheetData>
    <row r="1" spans="1:13" x14ac:dyDescent="0.2">
      <c r="A1" s="155"/>
      <c r="B1" s="695"/>
      <c r="C1" s="695"/>
      <c r="D1" s="695"/>
      <c r="E1" s="695"/>
      <c r="F1" s="695"/>
      <c r="G1" s="695"/>
      <c r="H1" s="695"/>
      <c r="I1" s="695"/>
      <c r="J1" s="695"/>
      <c r="K1" s="695"/>
      <c r="L1" s="695"/>
      <c r="M1" s="695"/>
    </row>
    <row r="2" spans="1:13" ht="10.5" x14ac:dyDescent="0.25">
      <c r="A2" s="155"/>
      <c r="B2" s="696" t="s">
        <v>55</v>
      </c>
      <c r="C2" s="697">
        <f ca="1">INDEX(INDIRECT(TDcustomEIRP!C29),TDSelected!D4)</f>
        <v>30</v>
      </c>
      <c r="D2" s="695"/>
      <c r="E2" s="865" t="s">
        <v>98</v>
      </c>
      <c r="F2" s="866"/>
      <c r="G2" s="867"/>
      <c r="H2" s="727"/>
      <c r="I2" s="695"/>
      <c r="J2" s="695"/>
      <c r="K2" s="695"/>
      <c r="L2" s="695"/>
      <c r="M2" s="695"/>
    </row>
    <row r="3" spans="1:13" x14ac:dyDescent="0.2">
      <c r="A3" s="155"/>
      <c r="B3" s="695"/>
      <c r="C3" s="695"/>
      <c r="D3" s="695"/>
      <c r="E3" s="695"/>
      <c r="F3" s="695"/>
      <c r="G3" s="695"/>
      <c r="H3" s="695"/>
      <c r="I3" s="695"/>
      <c r="J3" s="695"/>
      <c r="K3" s="695"/>
      <c r="L3" s="695"/>
      <c r="M3" s="695"/>
    </row>
    <row r="4" spans="1:13" x14ac:dyDescent="0.2">
      <c r="A4" s="155"/>
      <c r="B4" s="695"/>
      <c r="C4" s="695"/>
      <c r="D4" s="695"/>
      <c r="E4" s="695"/>
      <c r="F4" s="695"/>
      <c r="G4" s="695"/>
      <c r="H4" s="695"/>
      <c r="I4" s="695"/>
      <c r="J4" s="695"/>
      <c r="K4" s="695"/>
      <c r="L4" s="695"/>
      <c r="M4" s="695"/>
    </row>
    <row r="5" spans="1:13" ht="10.5" x14ac:dyDescent="0.25">
      <c r="A5" s="155"/>
      <c r="B5" s="696" t="s">
        <v>92</v>
      </c>
      <c r="C5" s="698" t="s">
        <v>2</v>
      </c>
      <c r="D5" s="699" t="s">
        <v>56</v>
      </c>
      <c r="E5" s="699" t="s">
        <v>57</v>
      </c>
      <c r="F5" s="699" t="s">
        <v>58</v>
      </c>
      <c r="G5" s="699" t="s">
        <v>59</v>
      </c>
      <c r="H5" s="699" t="s">
        <v>691</v>
      </c>
      <c r="I5" s="699" t="s">
        <v>692</v>
      </c>
      <c r="J5" s="699" t="s">
        <v>61</v>
      </c>
      <c r="K5" s="699" t="s">
        <v>62</v>
      </c>
      <c r="L5" s="699" t="s">
        <v>64</v>
      </c>
      <c r="M5" s="695"/>
    </row>
    <row r="6" spans="1:13" x14ac:dyDescent="0.2">
      <c r="A6" s="155"/>
      <c r="B6" s="695"/>
      <c r="C6" s="700">
        <f ca="1">TDSelected!D13</f>
        <v>21.6</v>
      </c>
      <c r="D6" s="701">
        <f ca="1">TDSelected!$D$51+TDSelected!$G$51+TDSelected!$G$54</f>
        <v>4.5</v>
      </c>
      <c r="E6" s="741">
        <f ca="1">TDSelected!$D$54</f>
        <v>8</v>
      </c>
      <c r="F6" s="701">
        <f ca="1">TDSelected!E13+TDSelected!$D$29-TDSelected!$D$26-TDSelected!$G$26-TDSelected!$G$29</f>
        <v>26.5</v>
      </c>
      <c r="G6" s="701">
        <f t="shared" ref="G6:G16" ca="1" si="0">IF(F6&gt;$C$2,$C$2,F6)</f>
        <v>26.5</v>
      </c>
      <c r="H6" s="701">
        <v>2</v>
      </c>
      <c r="I6" s="701">
        <f ca="1">IF(TDSelected!$H$4=2,105,100)</f>
        <v>105</v>
      </c>
      <c r="J6" s="701">
        <f>TDSelected!$E$5</f>
        <v>10</v>
      </c>
      <c r="K6" s="702">
        <f ca="1">POWER(10,((TDSelected!F38+D6-E6-G6+H6+I6+J6)/-20))</f>
        <v>2.2387211385683394</v>
      </c>
      <c r="L6" s="703" t="b">
        <f ca="1">((F6-G6)&gt;(TDSelected!$E$13-0.5))</f>
        <v>0</v>
      </c>
      <c r="M6" s="695"/>
    </row>
    <row r="7" spans="1:13" x14ac:dyDescent="0.2">
      <c r="A7" s="155"/>
      <c r="B7" s="695"/>
      <c r="C7" s="704">
        <f ca="1">TDSelected!D14</f>
        <v>43.2</v>
      </c>
      <c r="D7" s="705">
        <f ca="1">TDSelected!$D$51+TDSelected!$G$51+TDSelected!$G$54</f>
        <v>4.5</v>
      </c>
      <c r="E7" s="705">
        <f ca="1">TDSelected!$D$54</f>
        <v>8</v>
      </c>
      <c r="F7" s="705">
        <f ca="1">TDSelected!E14+TDSelected!$D$29-TDSelected!$D$26-TDSelected!$G$26-TDSelected!$G$29</f>
        <v>26.5</v>
      </c>
      <c r="G7" s="705">
        <f t="shared" ca="1" si="0"/>
        <v>26.5</v>
      </c>
      <c r="H7" s="705">
        <v>5</v>
      </c>
      <c r="I7" s="705">
        <f ca="1">IF(TDSelected!$H$4=2,105,100)</f>
        <v>105</v>
      </c>
      <c r="J7" s="705">
        <f>TDSelected!$E$5</f>
        <v>10</v>
      </c>
      <c r="K7" s="706">
        <f ca="1">POWER(10,((TDSelected!F39+D7-E7-G7+H7+I7+J7)/-20))</f>
        <v>1.1220184543019636</v>
      </c>
      <c r="L7" s="707" t="b">
        <f ca="1">((F7-G7)&gt;(TDSelected!$E$14-0.5))</f>
        <v>0</v>
      </c>
      <c r="M7" s="695"/>
    </row>
    <row r="8" spans="1:13" x14ac:dyDescent="0.2">
      <c r="A8" s="155"/>
      <c r="B8" s="695"/>
      <c r="C8" s="704">
        <f ca="1">TDSelected!D15</f>
        <v>65.099999999999994</v>
      </c>
      <c r="D8" s="705">
        <f ca="1">TDSelected!$D$51+TDSelected!$G$51+TDSelected!$G$54</f>
        <v>4.5</v>
      </c>
      <c r="E8" s="705">
        <f ca="1">TDSelected!$D$54</f>
        <v>8</v>
      </c>
      <c r="F8" s="705">
        <f ca="1">TDSelected!E15+TDSelected!$D$29-TDSelected!$D$26-TDSelected!$G$26-TDSelected!$G$29</f>
        <v>25.5</v>
      </c>
      <c r="G8" s="705">
        <f t="shared" ca="1" si="0"/>
        <v>25.5</v>
      </c>
      <c r="H8" s="705">
        <v>9</v>
      </c>
      <c r="I8" s="705">
        <f ca="1">IF(TDSelected!$H$4=2,105,100)</f>
        <v>105</v>
      </c>
      <c r="J8" s="705">
        <f>TDSelected!$E$5</f>
        <v>10</v>
      </c>
      <c r="K8" s="706">
        <f ca="1">POWER(10,((TDSelected!F40+D8-E8-G8+H8+I8+J8)/-20))</f>
        <v>0.56234132519034907</v>
      </c>
      <c r="L8" s="707" t="b">
        <f ca="1">((F8-G8)&gt;(TDSelected!$E$15-0.5))</f>
        <v>0</v>
      </c>
      <c r="M8" s="695"/>
    </row>
    <row r="9" spans="1:13" x14ac:dyDescent="0.2">
      <c r="A9" s="155"/>
      <c r="B9" s="695"/>
      <c r="C9" s="704">
        <f ca="1">TDSelected!D16</f>
        <v>86.699999999999989</v>
      </c>
      <c r="D9" s="705">
        <f ca="1">TDSelected!$D$51+TDSelected!$G$51+TDSelected!$G$54</f>
        <v>4.5</v>
      </c>
      <c r="E9" s="705">
        <f ca="1">TDSelected!$D$54</f>
        <v>8</v>
      </c>
      <c r="F9" s="705">
        <f ca="1">TDSelected!E16+TDSelected!$D$29-TDSelected!$D$26-TDSelected!$G$26-TDSelected!$G$29</f>
        <v>25.5</v>
      </c>
      <c r="G9" s="705">
        <f t="shared" ca="1" si="0"/>
        <v>25.5</v>
      </c>
      <c r="H9" s="705">
        <v>11</v>
      </c>
      <c r="I9" s="705">
        <f ca="1">IF(TDSelected!$H$4=2,105,100)</f>
        <v>105</v>
      </c>
      <c r="J9" s="705">
        <f>TDSelected!$E$5</f>
        <v>10</v>
      </c>
      <c r="K9" s="706">
        <f ca="1">POWER(10,((TDSelected!F41+D9-E9-G9+H9+I9+J9)/-20))</f>
        <v>0.28183829312644532</v>
      </c>
      <c r="L9" s="707" t="b">
        <f ca="1">((F9-G9)&gt;(TDSelected!$E$16-0.5))</f>
        <v>0</v>
      </c>
      <c r="M9" s="695"/>
    </row>
    <row r="10" spans="1:13" x14ac:dyDescent="0.2">
      <c r="A10" s="155"/>
      <c r="B10" s="695"/>
      <c r="C10" s="704">
        <f ca="1">TDSelected!D17</f>
        <v>129.89999999999998</v>
      </c>
      <c r="D10" s="705">
        <f ca="1">TDSelected!$D$51+TDSelected!$G$51+TDSelected!$G$54</f>
        <v>4.5</v>
      </c>
      <c r="E10" s="705">
        <f ca="1">TDSelected!$D$54</f>
        <v>8</v>
      </c>
      <c r="F10" s="705">
        <f ca="1">TDSelected!E17+TDSelected!$D$29-TDSelected!$D$26-TDSelected!$G$26-TDSelected!$G$29</f>
        <v>24.5</v>
      </c>
      <c r="G10" s="705">
        <f t="shared" ca="1" si="0"/>
        <v>24.5</v>
      </c>
      <c r="H10" s="705">
        <v>15</v>
      </c>
      <c r="I10" s="705">
        <f ca="1">IF(TDSelected!$H$4=2,105,100)</f>
        <v>105</v>
      </c>
      <c r="J10" s="705">
        <f>TDSelected!$E$5</f>
        <v>10</v>
      </c>
      <c r="K10" s="706">
        <f ca="1">POWER(10,((TDSelected!F42+D10-E10-G10+H10+I10+J10)/-20))</f>
        <v>0.11220184543019632</v>
      </c>
      <c r="L10" s="707" t="b">
        <f ca="1">((F10-G10)&gt;(TDSelected!$E$17-0.5))</f>
        <v>0</v>
      </c>
      <c r="M10" s="695"/>
    </row>
    <row r="11" spans="1:13" x14ac:dyDescent="0.2">
      <c r="A11" s="155"/>
      <c r="B11" s="695"/>
      <c r="C11" s="704">
        <f ca="1">TDSelected!D18</f>
        <v>173.39999999999998</v>
      </c>
      <c r="D11" s="705">
        <f ca="1">TDSelected!$D$51+TDSelected!$G$51+TDSelected!$G$54</f>
        <v>4.5</v>
      </c>
      <c r="E11" s="705">
        <f ca="1">TDSelected!$D$54</f>
        <v>8</v>
      </c>
      <c r="F11" s="705">
        <f ca="1">TDSelected!E18+TDSelected!$D$29-TDSelected!$D$26-TDSelected!$G$26-TDSelected!$G$29</f>
        <v>24.5</v>
      </c>
      <c r="G11" s="705">
        <f t="shared" ca="1" si="0"/>
        <v>24.5</v>
      </c>
      <c r="H11" s="705">
        <v>18</v>
      </c>
      <c r="I11" s="705">
        <f ca="1">IF(TDSelected!$H$4=2,105,100)</f>
        <v>105</v>
      </c>
      <c r="J11" s="705">
        <f>TDSelected!$E$5</f>
        <v>10</v>
      </c>
      <c r="K11" s="706">
        <f ca="1">POWER(10,((TDSelected!F43+D11-E11-G11+H11+I11+J11)/-20))</f>
        <v>5.6234132519034884E-2</v>
      </c>
      <c r="L11" s="707" t="b">
        <f ca="1">((F11-G11)&gt;(TDSelected!$E$18-0.5))</f>
        <v>0</v>
      </c>
      <c r="M11" s="695"/>
    </row>
    <row r="12" spans="1:13" x14ac:dyDescent="0.2">
      <c r="A12" s="155"/>
      <c r="B12" s="695"/>
      <c r="C12" s="704">
        <f ca="1">TDSelected!D19</f>
        <v>195</v>
      </c>
      <c r="D12" s="705">
        <f ca="1">TDSelected!$D$51+TDSelected!$G$51+TDSelected!$G$54</f>
        <v>4.5</v>
      </c>
      <c r="E12" s="705">
        <f ca="1">TDSelected!$D$54</f>
        <v>8</v>
      </c>
      <c r="F12" s="705">
        <f ca="1">TDSelected!E19+TDSelected!$D$29-TDSelected!$D$26-TDSelected!$G$26-TDSelected!$G$29</f>
        <v>23.5</v>
      </c>
      <c r="G12" s="705">
        <f t="shared" ca="1" si="0"/>
        <v>23.5</v>
      </c>
      <c r="H12" s="705">
        <v>20</v>
      </c>
      <c r="I12" s="705">
        <f ca="1">IF(TDSelected!$H$4=2,105,100)</f>
        <v>105</v>
      </c>
      <c r="J12" s="705">
        <f>TDSelected!$E$5</f>
        <v>10</v>
      </c>
      <c r="K12" s="706">
        <f ca="1">POWER(10,((TDSelected!F44+D12-E12-G12+H12+I12+J12)/-20))</f>
        <v>2.8183829312644532E-2</v>
      </c>
      <c r="L12" s="707" t="b">
        <f ca="1">((F12-G12)&gt;(TDSelected!$E$19-0.5))</f>
        <v>0</v>
      </c>
      <c r="M12" s="695"/>
    </row>
    <row r="13" spans="1:13" x14ac:dyDescent="0.2">
      <c r="A13" s="155"/>
      <c r="B13" s="695"/>
      <c r="C13" s="704">
        <f ca="1">TDSelected!D20</f>
        <v>216.60000000000002</v>
      </c>
      <c r="D13" s="705">
        <f ca="1">TDSelected!$D$51+TDSelected!$G$51+TDSelected!$G$54</f>
        <v>4.5</v>
      </c>
      <c r="E13" s="705">
        <f ca="1">TDSelected!$D$54</f>
        <v>8</v>
      </c>
      <c r="F13" s="705">
        <f ca="1">TDSelected!E20+TDSelected!$D$29-TDSelected!$D$26-TDSelected!$G$26-TDSelected!$G$29</f>
        <v>23.5</v>
      </c>
      <c r="G13" s="705">
        <f t="shared" ca="1" si="0"/>
        <v>23.5</v>
      </c>
      <c r="H13" s="705">
        <v>25</v>
      </c>
      <c r="I13" s="705">
        <f ca="1">IF(TDSelected!$H$4=2,105,100)</f>
        <v>105</v>
      </c>
      <c r="J13" s="705">
        <f>TDSelected!$E$5</f>
        <v>10</v>
      </c>
      <c r="K13" s="706">
        <f ca="1">POWER(10,((TDSelected!F45+D13-E13-G13+H13+I13+J13)/-20))</f>
        <v>1.2589254117941664E-2</v>
      </c>
      <c r="L13" s="707" t="b">
        <f ca="1">((F13-G13)&gt;(TDSelected!$E$20-0.5))</f>
        <v>0</v>
      </c>
      <c r="M13" s="695"/>
    </row>
    <row r="14" spans="1:13" x14ac:dyDescent="0.2">
      <c r="A14" s="155"/>
      <c r="B14" s="695"/>
      <c r="C14" s="704" t="str">
        <f ca="1">IF(TDSelected!D21=0,"",TDSelected!D21)</f>
        <v/>
      </c>
      <c r="D14" s="705">
        <f ca="1">TDSelected!$D$51+TDSelected!$G$51+TDSelected!$G$54</f>
        <v>4.5</v>
      </c>
      <c r="E14" s="705">
        <f ca="1">TDSelected!$D$54</f>
        <v>8</v>
      </c>
      <c r="F14" s="705">
        <f ca="1">TDSelected!E21+TDSelected!$D$29-TDSelected!$D$26-TDSelected!$G$26-TDSelected!$G$29</f>
        <v>3.5</v>
      </c>
      <c r="G14" s="705">
        <f t="shared" ca="1" si="0"/>
        <v>3.5</v>
      </c>
      <c r="H14" s="705">
        <v>29</v>
      </c>
      <c r="I14" s="705">
        <f ca="1">IF(TDSelected!$H$4=2,105,100)</f>
        <v>105</v>
      </c>
      <c r="J14" s="705">
        <f>TDSelected!$E$5</f>
        <v>10</v>
      </c>
      <c r="K14" s="706">
        <f ca="1">POWER(10,((TDSelected!F46+D14-E14-G14+H14+I14+J14)/-20))</f>
        <v>5.0118723362727209E-4</v>
      </c>
      <c r="L14" s="707" t="str">
        <f ca="1">IF(C14="","",((F14-G14)&gt;(TDSelected!$E$21-0.5)))</f>
        <v/>
      </c>
      <c r="M14" s="695"/>
    </row>
    <row r="15" spans="1:13" x14ac:dyDescent="0.2">
      <c r="A15" s="155"/>
      <c r="B15" s="695"/>
      <c r="C15" s="704" t="str">
        <f ca="1">IF(TDSelected!D22=0,"",TDSelected!D22)</f>
        <v/>
      </c>
      <c r="D15" s="705">
        <f ca="1">TDSelected!$D$51+TDSelected!$G$51+TDSelected!$G$54</f>
        <v>4.5</v>
      </c>
      <c r="E15" s="705">
        <f ca="1">TDSelected!$D$54</f>
        <v>8</v>
      </c>
      <c r="F15" s="705">
        <f ca="1">TDSelected!E22+TDSelected!$D$29-TDSelected!$D$26-TDSelected!$G$26-TDSelected!$G$29</f>
        <v>3.5</v>
      </c>
      <c r="G15" s="705">
        <f t="shared" ca="1" si="0"/>
        <v>3.5</v>
      </c>
      <c r="H15" s="705"/>
      <c r="I15" s="705">
        <f ca="1">IF(TDSelected!$H$4=2,105,100)</f>
        <v>105</v>
      </c>
      <c r="J15" s="705">
        <f>TDSelected!$E$5</f>
        <v>10</v>
      </c>
      <c r="K15" s="706">
        <f ca="1">POWER(10,((TDSelected!F47+D15-E15-G15+H15+I15+J15)/-20))</f>
        <v>3.9810717055349657E-6</v>
      </c>
      <c r="L15" s="707" t="str">
        <f ca="1">IF(C15="","",((F15-G15)&gt;(TDSelected!$E$22-0.5)))</f>
        <v/>
      </c>
      <c r="M15" s="695"/>
    </row>
    <row r="16" spans="1:13" x14ac:dyDescent="0.2">
      <c r="A16" s="155"/>
      <c r="B16" s="695"/>
      <c r="C16" s="708" t="str">
        <f ca="1">IF(TDSelected!D23=0,"",TDSelected!D23)</f>
        <v/>
      </c>
      <c r="D16" s="709">
        <f ca="1">TDSelected!$D$51+TDSelected!$G$51+TDSelected!$G$54</f>
        <v>4.5</v>
      </c>
      <c r="E16" s="709">
        <f ca="1">TDSelected!$D$54</f>
        <v>8</v>
      </c>
      <c r="F16" s="709">
        <f ca="1">TDSelected!E23+TDSelected!$D$29-TDSelected!$D$26-TDSelected!$G$26-TDSelected!$G$29</f>
        <v>3.5</v>
      </c>
      <c r="G16" s="709">
        <f t="shared" ca="1" si="0"/>
        <v>3.5</v>
      </c>
      <c r="H16" s="709"/>
      <c r="I16" s="709">
        <f ca="1">IF(TDSelected!$H$4=2,105,100)</f>
        <v>105</v>
      </c>
      <c r="J16" s="709">
        <f>TDSelected!$E$5</f>
        <v>10</v>
      </c>
      <c r="K16" s="710">
        <f ca="1">POWER(10,((TDSelected!F48+D16-E16-G16+H16+I16+J16)/-20))</f>
        <v>3.9810717055349657E-6</v>
      </c>
      <c r="L16" s="711" t="str">
        <f ca="1">IF(C16="","",((F16-G16)&gt;(TDSelected!$E$23-0.5)))</f>
        <v/>
      </c>
      <c r="M16" s="695"/>
    </row>
    <row r="17" spans="1:13" x14ac:dyDescent="0.2">
      <c r="A17" s="155"/>
      <c r="B17" s="695"/>
      <c r="C17" s="695"/>
      <c r="D17" s="695"/>
      <c r="E17" s="695"/>
      <c r="F17" s="695"/>
      <c r="G17" s="695"/>
      <c r="H17" s="695"/>
      <c r="I17" s="695"/>
      <c r="J17" s="695"/>
      <c r="K17" s="695"/>
      <c r="L17" s="695"/>
      <c r="M17" s="695"/>
    </row>
    <row r="18" spans="1:13" x14ac:dyDescent="0.2">
      <c r="A18" s="155"/>
      <c r="B18" s="695"/>
      <c r="C18" s="695"/>
      <c r="D18" s="695"/>
      <c r="E18" s="695"/>
      <c r="F18" s="695"/>
      <c r="G18" s="695"/>
      <c r="H18" s="695"/>
      <c r="I18" s="695"/>
      <c r="J18" s="695"/>
      <c r="K18" s="695"/>
      <c r="L18" s="695"/>
      <c r="M18" s="695"/>
    </row>
    <row r="19" spans="1:13" ht="10.5" x14ac:dyDescent="0.25">
      <c r="A19" s="155"/>
      <c r="B19" s="696" t="s">
        <v>93</v>
      </c>
      <c r="C19" s="698" t="s">
        <v>2</v>
      </c>
      <c r="D19" s="699" t="s">
        <v>56</v>
      </c>
      <c r="E19" s="699" t="s">
        <v>57</v>
      </c>
      <c r="F19" s="699" t="s">
        <v>58</v>
      </c>
      <c r="G19" s="699" t="s">
        <v>59</v>
      </c>
      <c r="H19" s="699" t="s">
        <v>691</v>
      </c>
      <c r="I19" s="699" t="s">
        <v>692</v>
      </c>
      <c r="J19" s="699" t="s">
        <v>61</v>
      </c>
      <c r="K19" s="699" t="s">
        <v>62</v>
      </c>
      <c r="L19" s="699" t="s">
        <v>64</v>
      </c>
      <c r="M19" s="695"/>
    </row>
    <row r="20" spans="1:13" x14ac:dyDescent="0.2">
      <c r="A20" s="155"/>
      <c r="B20" s="695"/>
      <c r="C20" s="700">
        <f ca="1">TDSelected!D38</f>
        <v>21.6</v>
      </c>
      <c r="D20" s="701">
        <f ca="1">TDSelected!$D$26+TDSelected!$G$26+TDSelected!$G$29</f>
        <v>4.5</v>
      </c>
      <c r="E20" s="701">
        <f ca="1">TDSelected!$D$29</f>
        <v>8</v>
      </c>
      <c r="F20" s="701">
        <f ca="1">TDSelected!E38+TDSelected!$D$54-TDSelected!$D$51-TDSelected!$G$51-TDSelected!$G$54</f>
        <v>24.5</v>
      </c>
      <c r="G20" s="701">
        <f t="shared" ref="G20:G30" ca="1" si="1">IF(F20&gt;$C$2,$C$2,F20)</f>
        <v>24.5</v>
      </c>
      <c r="H20" s="701">
        <v>2</v>
      </c>
      <c r="I20" s="701">
        <f ca="1">IF(TDSelected!$H$4=2,105,100)</f>
        <v>105</v>
      </c>
      <c r="J20" s="701">
        <f>TDSelected!$E$5</f>
        <v>10</v>
      </c>
      <c r="K20" s="706">
        <f ca="1">POWER(10,((TDSelected!F13+D20-E20-G20+H20+I20+J20)/-20))</f>
        <v>0.89125093813374545</v>
      </c>
      <c r="L20" s="703" t="b">
        <f ca="1">((F20-G20)&gt;(TDSelected!$E$38-0.5))</f>
        <v>0</v>
      </c>
      <c r="M20" s="695"/>
    </row>
    <row r="21" spans="1:13" x14ac:dyDescent="0.2">
      <c r="A21" s="155"/>
      <c r="B21" s="695"/>
      <c r="C21" s="704">
        <f ca="1">TDSelected!D39</f>
        <v>43.2</v>
      </c>
      <c r="D21" s="705">
        <f ca="1">TDSelected!$D$26+TDSelected!$G$26+TDSelected!$G$29</f>
        <v>4.5</v>
      </c>
      <c r="E21" s="705">
        <f ca="1">TDSelected!$D$29</f>
        <v>8</v>
      </c>
      <c r="F21" s="705">
        <f ca="1">TDSelected!E39+TDSelected!$D$54-TDSelected!$D$51-TDSelected!$G$51-TDSelected!$G$54</f>
        <v>24.5</v>
      </c>
      <c r="G21" s="705">
        <f t="shared" ca="1" si="1"/>
        <v>24.5</v>
      </c>
      <c r="H21" s="705">
        <v>5</v>
      </c>
      <c r="I21" s="705">
        <f ca="1">IF(TDSelected!$H$4=2,105,100)</f>
        <v>105</v>
      </c>
      <c r="J21" s="705">
        <f>TDSelected!$E$5</f>
        <v>10</v>
      </c>
      <c r="K21" s="706">
        <f ca="1">POWER(10,((TDSelected!F14+D21-E21-G21+H21+I21+J21)/-20))</f>
        <v>0.44668359215096315</v>
      </c>
      <c r="L21" s="707" t="b">
        <f ca="1">((F21-G21)&gt;(TDSelected!$E$39-0.5))</f>
        <v>0</v>
      </c>
      <c r="M21" s="695"/>
    </row>
    <row r="22" spans="1:13" x14ac:dyDescent="0.2">
      <c r="A22" s="155"/>
      <c r="B22" s="695"/>
      <c r="C22" s="704">
        <f ca="1">TDSelected!D40</f>
        <v>65.099999999999994</v>
      </c>
      <c r="D22" s="705">
        <f ca="1">TDSelected!$D$26+TDSelected!$G$26+TDSelected!$G$29</f>
        <v>4.5</v>
      </c>
      <c r="E22" s="705">
        <f ca="1">TDSelected!$D$29</f>
        <v>8</v>
      </c>
      <c r="F22" s="705">
        <f ca="1">TDSelected!E40+TDSelected!$D$54-TDSelected!$D$51-TDSelected!$G$51-TDSelected!$G$54</f>
        <v>24.5</v>
      </c>
      <c r="G22" s="705">
        <f t="shared" ca="1" si="1"/>
        <v>24.5</v>
      </c>
      <c r="H22" s="705">
        <v>9</v>
      </c>
      <c r="I22" s="705">
        <f ca="1">IF(TDSelected!$H$4=2,105,100)</f>
        <v>105</v>
      </c>
      <c r="J22" s="705">
        <f>TDSelected!$E$5</f>
        <v>10</v>
      </c>
      <c r="K22" s="706">
        <f ca="1">POWER(10,((TDSelected!F15+D22-E22-G22+H22+I22+J22)/-20))</f>
        <v>0.22387211385683392</v>
      </c>
      <c r="L22" s="707" t="b">
        <f ca="1">((F22-G22)&gt;(TDSelected!$E$40-0.5))</f>
        <v>0</v>
      </c>
      <c r="M22" s="695"/>
    </row>
    <row r="23" spans="1:13" x14ac:dyDescent="0.2">
      <c r="A23" s="155"/>
      <c r="B23" s="695"/>
      <c r="C23" s="704">
        <f ca="1">TDSelected!D41</f>
        <v>86.699999999999989</v>
      </c>
      <c r="D23" s="705">
        <f ca="1">TDSelected!$D$26+TDSelected!$G$26+TDSelected!$G$29</f>
        <v>4.5</v>
      </c>
      <c r="E23" s="705">
        <f ca="1">TDSelected!$D$29</f>
        <v>8</v>
      </c>
      <c r="F23" s="705">
        <f ca="1">TDSelected!E41+TDSelected!$D$54-TDSelected!$D$51-TDSelected!$G$51-TDSelected!$G$54</f>
        <v>23.5</v>
      </c>
      <c r="G23" s="705">
        <f t="shared" ca="1" si="1"/>
        <v>23.5</v>
      </c>
      <c r="H23" s="705">
        <v>11</v>
      </c>
      <c r="I23" s="705">
        <f ca="1">IF(TDSelected!$H$4=2,105,100)</f>
        <v>105</v>
      </c>
      <c r="J23" s="705">
        <f>TDSelected!$E$5</f>
        <v>10</v>
      </c>
      <c r="K23" s="706">
        <f ca="1">POWER(10,((TDSelected!F16+D23-E23-G23+H23+I23+J23)/-20))</f>
        <v>0.1</v>
      </c>
      <c r="L23" s="707" t="b">
        <f ca="1">((F23-G23)&gt;(TDSelected!$E$41-0.5))</f>
        <v>0</v>
      </c>
      <c r="M23" s="695"/>
    </row>
    <row r="24" spans="1:13" x14ac:dyDescent="0.2">
      <c r="A24" s="155"/>
      <c r="B24" s="695"/>
      <c r="C24" s="704">
        <f ca="1">TDSelected!D42</f>
        <v>129.89999999999998</v>
      </c>
      <c r="D24" s="705">
        <f ca="1">TDSelected!$D$26+TDSelected!$G$26+TDSelected!$G$29</f>
        <v>4.5</v>
      </c>
      <c r="E24" s="705">
        <f ca="1">TDSelected!$D$29</f>
        <v>8</v>
      </c>
      <c r="F24" s="705">
        <f ca="1">TDSelected!E42+TDSelected!$D$54-TDSelected!$D$51-TDSelected!$G$51-TDSelected!$G$54</f>
        <v>22.5</v>
      </c>
      <c r="G24" s="705">
        <f t="shared" ca="1" si="1"/>
        <v>22.5</v>
      </c>
      <c r="H24" s="705">
        <v>15</v>
      </c>
      <c r="I24" s="705">
        <f ca="1">IF(TDSelected!$H$4=2,105,100)</f>
        <v>105</v>
      </c>
      <c r="J24" s="705">
        <f>TDSelected!$E$5</f>
        <v>10</v>
      </c>
      <c r="K24" s="706">
        <f ca="1">POWER(10,((TDSelected!F17+D24-E24-G24+H24+I24+J24)/-20))</f>
        <v>3.548133892335753E-2</v>
      </c>
      <c r="L24" s="707" t="b">
        <f ca="1">((F24-G24)&gt;(TDSelected!$E$42-0.5))</f>
        <v>0</v>
      </c>
      <c r="M24" s="695"/>
    </row>
    <row r="25" spans="1:13" x14ac:dyDescent="0.2">
      <c r="A25" s="155"/>
      <c r="B25" s="695"/>
      <c r="C25" s="704">
        <f ca="1">TDSelected!D43</f>
        <v>173.39999999999998</v>
      </c>
      <c r="D25" s="705">
        <f ca="1">TDSelected!$D$26+TDSelected!$G$26+TDSelected!$G$29</f>
        <v>4.5</v>
      </c>
      <c r="E25" s="705">
        <f ca="1">TDSelected!$D$29</f>
        <v>8</v>
      </c>
      <c r="F25" s="705">
        <f ca="1">TDSelected!E43+TDSelected!$D$54-TDSelected!$D$51-TDSelected!$G$51-TDSelected!$G$54</f>
        <v>21.5</v>
      </c>
      <c r="G25" s="705">
        <f t="shared" ca="1" si="1"/>
        <v>21.5</v>
      </c>
      <c r="H25" s="705">
        <v>18</v>
      </c>
      <c r="I25" s="705">
        <f ca="1">IF(TDSelected!$H$4=2,105,100)</f>
        <v>105</v>
      </c>
      <c r="J25" s="705">
        <f>TDSelected!$E$5</f>
        <v>10</v>
      </c>
      <c r="K25" s="706">
        <f ca="1">POWER(10,((TDSelected!F18+D25-E25-G25+H25+I25+J25)/-20))</f>
        <v>1.9952623149688792E-2</v>
      </c>
      <c r="L25" s="707" t="b">
        <f ca="1">((F25-G25)&gt;(TDSelected!$E$43-0.5))</f>
        <v>0</v>
      </c>
      <c r="M25" s="695"/>
    </row>
    <row r="26" spans="1:13" x14ac:dyDescent="0.2">
      <c r="A26" s="155"/>
      <c r="B26" s="695"/>
      <c r="C26" s="704">
        <f ca="1">TDSelected!D44</f>
        <v>195</v>
      </c>
      <c r="D26" s="705">
        <f ca="1">TDSelected!$D$26+TDSelected!$G$26+TDSelected!$G$29</f>
        <v>4.5</v>
      </c>
      <c r="E26" s="705">
        <f ca="1">TDSelected!$D$29</f>
        <v>8</v>
      </c>
      <c r="F26" s="705">
        <f ca="1">TDSelected!E44+TDSelected!$D$54-TDSelected!$D$51-TDSelected!$G$51-TDSelected!$G$54</f>
        <v>20.5</v>
      </c>
      <c r="G26" s="705">
        <f t="shared" ca="1" si="1"/>
        <v>20.5</v>
      </c>
      <c r="H26" s="705">
        <v>20</v>
      </c>
      <c r="I26" s="705">
        <f ca="1">IF(TDSelected!$H$4=2,105,100)</f>
        <v>105</v>
      </c>
      <c r="J26" s="705">
        <f>TDSelected!$E$5</f>
        <v>10</v>
      </c>
      <c r="K26" s="706">
        <f ca="1">POWER(10,((TDSelected!F19+D26-E26-G26+H26+I26+J26)/-20))</f>
        <v>1.2589254117941664E-2</v>
      </c>
      <c r="L26" s="707" t="b">
        <f ca="1">((F26-G26)&gt;(TDSelected!$E$44-0.5))</f>
        <v>0</v>
      </c>
      <c r="M26" s="695"/>
    </row>
    <row r="27" spans="1:13" x14ac:dyDescent="0.2">
      <c r="A27" s="155"/>
      <c r="B27" s="695"/>
      <c r="C27" s="704">
        <f ca="1">TDSelected!D45</f>
        <v>216.60000000000002</v>
      </c>
      <c r="D27" s="705">
        <f ca="1">TDSelected!$D$26+TDSelected!$G$26+TDSelected!$G$29</f>
        <v>4.5</v>
      </c>
      <c r="E27" s="705">
        <f ca="1">TDSelected!$D$29</f>
        <v>8</v>
      </c>
      <c r="F27" s="705">
        <f ca="1">TDSelected!E45+TDSelected!$D$54-TDSelected!$D$51-TDSelected!$G$51-TDSelected!$G$54</f>
        <v>19.5</v>
      </c>
      <c r="G27" s="705">
        <f t="shared" ca="1" si="1"/>
        <v>19.5</v>
      </c>
      <c r="H27" s="705">
        <v>25</v>
      </c>
      <c r="I27" s="705">
        <f ca="1">IF(TDSelected!$H$4=2,105,100)</f>
        <v>105</v>
      </c>
      <c r="J27" s="705">
        <f>TDSelected!$E$5</f>
        <v>10</v>
      </c>
      <c r="K27" s="706">
        <f ca="1">POWER(10,((TDSelected!F20+D27-E27-G27+H27+I27+J27)/-20))</f>
        <v>5.0118723362727212E-3</v>
      </c>
      <c r="L27" s="707" t="b">
        <f ca="1">((F27-G27)&gt;(TDSelected!$E$45-0.5))</f>
        <v>0</v>
      </c>
      <c r="M27" s="695"/>
    </row>
    <row r="28" spans="1:13" x14ac:dyDescent="0.2">
      <c r="A28" s="155"/>
      <c r="B28" s="695"/>
      <c r="C28" s="704">
        <f ca="1">IF(TDSelected!D46=0,"",TDSelected!D46)</f>
        <v>260.10000000000002</v>
      </c>
      <c r="D28" s="705">
        <f ca="1">TDSelected!$D$26+TDSelected!$G$26+TDSelected!$G$29</f>
        <v>4.5</v>
      </c>
      <c r="E28" s="705">
        <f ca="1">TDSelected!$D$29</f>
        <v>8</v>
      </c>
      <c r="F28" s="705">
        <f ca="1">TDSelected!E46+TDSelected!$D$54-TDSelected!$D$51-TDSelected!$G$51-TDSelected!$G$54</f>
        <v>18.5</v>
      </c>
      <c r="G28" s="705">
        <f t="shared" ca="1" si="1"/>
        <v>18.5</v>
      </c>
      <c r="H28" s="705">
        <v>29</v>
      </c>
      <c r="I28" s="705">
        <f ca="1">IF(TDSelected!$H$4=2,105,100)</f>
        <v>105</v>
      </c>
      <c r="J28" s="705">
        <f>TDSelected!$E$5</f>
        <v>10</v>
      </c>
      <c r="K28" s="706">
        <f ca="1">POWER(10,((TDSelected!F21+D28-E28-G28+H28+I28+J28)/-20))</f>
        <v>7.9432823472428114E-7</v>
      </c>
      <c r="L28" s="707" t="b">
        <f ca="1">IF(C28="","",((F28-G28)&gt;(TDSelected!$E$46-0.5)))</f>
        <v>0</v>
      </c>
      <c r="M28" s="695"/>
    </row>
    <row r="29" spans="1:13" x14ac:dyDescent="0.2">
      <c r="A29" s="155"/>
      <c r="B29" s="695"/>
      <c r="C29" s="704" t="str">
        <f ca="1">IF(TDSelected!D47=0,"",TDSelected!D47)</f>
        <v/>
      </c>
      <c r="D29" s="705">
        <f ca="1">TDSelected!$D$26+TDSelected!$G$26+TDSelected!$G$29</f>
        <v>4.5</v>
      </c>
      <c r="E29" s="705">
        <f ca="1">TDSelected!$D$29</f>
        <v>8</v>
      </c>
      <c r="F29" s="705">
        <f ca="1">TDSelected!E47+TDSelected!$D$54-TDSelected!$D$51-TDSelected!$G$51-TDSelected!$G$54</f>
        <v>3.5</v>
      </c>
      <c r="G29" s="705">
        <f t="shared" ca="1" si="1"/>
        <v>3.5</v>
      </c>
      <c r="H29" s="705"/>
      <c r="I29" s="705">
        <f ca="1">IF(TDSelected!$H$4=2,105,100)</f>
        <v>105</v>
      </c>
      <c r="J29" s="705">
        <f>TDSelected!$E$5</f>
        <v>10</v>
      </c>
      <c r="K29" s="706">
        <f ca="1">POWER(10,((TDSelected!F22+D29-E29-G29+H29+I29+J29)/-20))</f>
        <v>3.9810717055349657E-6</v>
      </c>
      <c r="L29" s="707" t="str">
        <f ca="1">IF(C29="","",((F29-G29)&gt;(TDSelected!$E$47-0.5)))</f>
        <v/>
      </c>
      <c r="M29" s="695"/>
    </row>
    <row r="30" spans="1:13" x14ac:dyDescent="0.2">
      <c r="A30" s="155"/>
      <c r="B30" s="695"/>
      <c r="C30" s="708" t="str">
        <f ca="1">IF(TDSelected!D48=0,"",TDSelected!D48)</f>
        <v/>
      </c>
      <c r="D30" s="709">
        <f ca="1">TDSelected!$D$26+TDSelected!$G$26+TDSelected!$G$29</f>
        <v>4.5</v>
      </c>
      <c r="E30" s="709">
        <f ca="1">TDSelected!$D$29</f>
        <v>8</v>
      </c>
      <c r="F30" s="709">
        <f ca="1">TDSelected!E48+TDSelected!$D$54-TDSelected!$D$51-TDSelected!$G$51-TDSelected!$G$54</f>
        <v>3.5</v>
      </c>
      <c r="G30" s="709">
        <f t="shared" ca="1" si="1"/>
        <v>3.5</v>
      </c>
      <c r="H30" s="709"/>
      <c r="I30" s="709">
        <f ca="1">IF(TDSelected!$H$4=2,105,100)</f>
        <v>105</v>
      </c>
      <c r="J30" s="709">
        <f>TDSelected!$E$5</f>
        <v>10</v>
      </c>
      <c r="K30" s="710">
        <f ca="1">POWER(10,((TDSelected!F23+D30-E30-G30+H30+I30+J30)/-20))</f>
        <v>3.9810717055349657E-6</v>
      </c>
      <c r="L30" s="711" t="str">
        <f ca="1">IF(C30="","",((F30-G30)&gt;(TDSelected!$E$48-0.5)))</f>
        <v/>
      </c>
      <c r="M30" s="695"/>
    </row>
    <row r="31" spans="1:13" x14ac:dyDescent="0.2">
      <c r="A31" s="155"/>
      <c r="B31" s="695"/>
      <c r="C31" s="695"/>
      <c r="D31" s="695"/>
      <c r="E31" s="695"/>
      <c r="F31" s="695"/>
      <c r="G31" s="695"/>
      <c r="H31" s="695"/>
      <c r="I31" s="695"/>
      <c r="J31" s="695"/>
      <c r="K31" s="695"/>
      <c r="L31" s="695"/>
      <c r="M31" s="695"/>
    </row>
    <row r="32" spans="1:13" x14ac:dyDescent="0.2">
      <c r="A32" s="155"/>
      <c r="B32" s="695"/>
      <c r="C32" s="695"/>
      <c r="D32" s="695"/>
      <c r="E32" s="695"/>
      <c r="F32" s="695"/>
      <c r="G32" s="695"/>
      <c r="H32" s="695"/>
      <c r="I32" s="695"/>
      <c r="J32" s="695"/>
      <c r="K32" s="695"/>
      <c r="L32" s="695"/>
      <c r="M32" s="695"/>
    </row>
    <row r="33" spans="1:13" ht="10.5" x14ac:dyDescent="0.25">
      <c r="A33" s="155"/>
      <c r="B33" s="696" t="s">
        <v>94</v>
      </c>
      <c r="C33" s="698" t="s">
        <v>2</v>
      </c>
      <c r="D33" s="699" t="s">
        <v>56</v>
      </c>
      <c r="E33" s="699" t="s">
        <v>57</v>
      </c>
      <c r="F33" s="712" t="s">
        <v>58</v>
      </c>
      <c r="G33" s="699" t="s">
        <v>59</v>
      </c>
      <c r="H33" s="699" t="s">
        <v>691</v>
      </c>
      <c r="I33" s="699" t="s">
        <v>692</v>
      </c>
      <c r="J33" s="712" t="s">
        <v>61</v>
      </c>
      <c r="K33" s="699" t="s">
        <v>62</v>
      </c>
      <c r="L33" s="699" t="s">
        <v>64</v>
      </c>
      <c r="M33" s="695"/>
    </row>
    <row r="34" spans="1:13" x14ac:dyDescent="0.2">
      <c r="A34" s="155"/>
      <c r="B34" s="695"/>
      <c r="C34" s="700">
        <f ca="1">TDSelected!G13</f>
        <v>45</v>
      </c>
      <c r="D34" s="701">
        <f ca="1">D6</f>
        <v>4.5</v>
      </c>
      <c r="E34" s="701">
        <f ca="1">E6</f>
        <v>8</v>
      </c>
      <c r="F34" s="705">
        <f ca="1">TDSelected!H13+TDSelected!$D$29-TDSelected!$D$26-TDSelected!$G$26-TDSelected!$G$29</f>
        <v>26.5</v>
      </c>
      <c r="G34" s="701">
        <f t="shared" ref="G34:G44" ca="1" si="2">IF(F34&gt;$C$2,$C$2,F34)</f>
        <v>26.5</v>
      </c>
      <c r="H34" s="701">
        <v>5</v>
      </c>
      <c r="I34" s="701">
        <f ca="1">IF(TDSelected!$H$4=2,105,100)</f>
        <v>105</v>
      </c>
      <c r="J34" s="705">
        <f>TDSelected!$E$5</f>
        <v>10</v>
      </c>
      <c r="K34" s="702">
        <f ca="1">POWER(10,((TDSelected!I38+D34-E34-G34+H34+I34+J34)/-20))</f>
        <v>1.1220184543019636</v>
      </c>
      <c r="L34" s="703" t="b">
        <f ca="1">((F34-G34)&gt;(TDSelected!$H13-0.5))</f>
        <v>0</v>
      </c>
      <c r="M34" s="695"/>
    </row>
    <row r="35" spans="1:13" x14ac:dyDescent="0.2">
      <c r="A35" s="155"/>
      <c r="B35" s="695"/>
      <c r="C35" s="704">
        <f ca="1">TDSelected!G14</f>
        <v>90</v>
      </c>
      <c r="D35" s="705">
        <f ca="1">D7</f>
        <v>4.5</v>
      </c>
      <c r="E35" s="705">
        <f ca="1">E7</f>
        <v>8</v>
      </c>
      <c r="F35" s="705">
        <f ca="1">TDSelected!H14+TDSelected!$D$29-TDSelected!$D$26-TDSelected!$G$26-TDSelected!$G$29</f>
        <v>26.5</v>
      </c>
      <c r="G35" s="705">
        <f t="shared" ca="1" si="2"/>
        <v>26.5</v>
      </c>
      <c r="H35" s="705">
        <v>8</v>
      </c>
      <c r="I35" s="705">
        <f ca="1">IF(TDSelected!$H$4=2,105,100)</f>
        <v>105</v>
      </c>
      <c r="J35" s="705">
        <f>TDSelected!$E$5</f>
        <v>10</v>
      </c>
      <c r="K35" s="706">
        <f ca="1">POWER(10,((TDSelected!I39+D35-E35-G35+H35+I35+J35)/-20))</f>
        <v>0.56234132519034907</v>
      </c>
      <c r="L35" s="707" t="b">
        <f ca="1">((F35-G35)&gt;(TDSelected!$H14-0.5))</f>
        <v>0</v>
      </c>
      <c r="M35" s="695"/>
    </row>
    <row r="36" spans="1:13" x14ac:dyDescent="0.2">
      <c r="A36" s="155"/>
      <c r="B36" s="695"/>
      <c r="C36" s="704">
        <f ca="1">TDSelected!G15</f>
        <v>135</v>
      </c>
      <c r="D36" s="705">
        <f t="shared" ref="D36:D44" ca="1" si="3">D8</f>
        <v>4.5</v>
      </c>
      <c r="E36" s="705">
        <f t="shared" ref="E36:E44" ca="1" si="4">E8</f>
        <v>8</v>
      </c>
      <c r="F36" s="705">
        <f ca="1">TDSelected!H15+TDSelected!$D$29-TDSelected!$D$26-TDSelected!$G$26-TDSelected!$G$29</f>
        <v>25.5</v>
      </c>
      <c r="G36" s="705">
        <f t="shared" ca="1" si="2"/>
        <v>25.5</v>
      </c>
      <c r="H36" s="705">
        <v>12</v>
      </c>
      <c r="I36" s="705">
        <f ca="1">IF(TDSelected!$H$4=2,105,100)</f>
        <v>105</v>
      </c>
      <c r="J36" s="705">
        <f>TDSelected!$E$5</f>
        <v>10</v>
      </c>
      <c r="K36" s="706">
        <f ca="1">POWER(10,((TDSelected!I40+D36-E36-G36+H36+I36+J36)/-20))</f>
        <v>0.22387211385683392</v>
      </c>
      <c r="L36" s="707" t="b">
        <f ca="1">((F36-G36)&gt;(TDSelected!$H15-0.5))</f>
        <v>0</v>
      </c>
      <c r="M36" s="695"/>
    </row>
    <row r="37" spans="1:13" x14ac:dyDescent="0.2">
      <c r="A37" s="155"/>
      <c r="B37" s="695"/>
      <c r="C37" s="704">
        <f ca="1">TDSelected!G16</f>
        <v>180</v>
      </c>
      <c r="D37" s="705">
        <f t="shared" ca="1" si="3"/>
        <v>4.5</v>
      </c>
      <c r="E37" s="705">
        <f t="shared" ca="1" si="4"/>
        <v>8</v>
      </c>
      <c r="F37" s="705">
        <f ca="1">TDSelected!H16+TDSelected!$D$29-TDSelected!$D$26-TDSelected!$G$26-TDSelected!$G$29</f>
        <v>25.5</v>
      </c>
      <c r="G37" s="705">
        <f t="shared" ca="1" si="2"/>
        <v>25.5</v>
      </c>
      <c r="H37" s="705">
        <v>14</v>
      </c>
      <c r="I37" s="705">
        <f ca="1">IF(TDSelected!$H$4=2,105,100)</f>
        <v>105</v>
      </c>
      <c r="J37" s="705">
        <f>TDSelected!$E$5</f>
        <v>10</v>
      </c>
      <c r="K37" s="706">
        <f ca="1">POWER(10,((TDSelected!I41+D37-E37-G37+H37+I37+J37)/-20))</f>
        <v>0.12589254117941667</v>
      </c>
      <c r="L37" s="707" t="b">
        <f ca="1">((F37-G37)&gt;(TDSelected!$H16-0.5))</f>
        <v>0</v>
      </c>
      <c r="M37" s="695"/>
    </row>
    <row r="38" spans="1:13" x14ac:dyDescent="0.2">
      <c r="A38" s="155"/>
      <c r="B38" s="695"/>
      <c r="C38" s="704">
        <f ca="1">TDSelected!G17</f>
        <v>270</v>
      </c>
      <c r="D38" s="705">
        <f t="shared" ca="1" si="3"/>
        <v>4.5</v>
      </c>
      <c r="E38" s="705">
        <f t="shared" ca="1" si="4"/>
        <v>8</v>
      </c>
      <c r="F38" s="705">
        <f ca="1">TDSelected!H17+TDSelected!$D$29-TDSelected!$D$26-TDSelected!$G$26-TDSelected!$G$29</f>
        <v>24.5</v>
      </c>
      <c r="G38" s="705">
        <f t="shared" ca="1" si="2"/>
        <v>24.5</v>
      </c>
      <c r="H38" s="705">
        <v>18</v>
      </c>
      <c r="I38" s="705">
        <f ca="1">IF(TDSelected!$H$4=2,105,100)</f>
        <v>105</v>
      </c>
      <c r="J38" s="705">
        <f>TDSelected!$E$5</f>
        <v>10</v>
      </c>
      <c r="K38" s="706">
        <f ca="1">POWER(10,((TDSelected!I42+D38-E38-G38+H38+I38+J38)/-20))</f>
        <v>5.0118723362727206E-2</v>
      </c>
      <c r="L38" s="707" t="b">
        <f ca="1">((F38-G38)&gt;(TDSelected!$H17-0.5))</f>
        <v>0</v>
      </c>
      <c r="M38" s="695"/>
    </row>
    <row r="39" spans="1:13" x14ac:dyDescent="0.2">
      <c r="A39" s="155"/>
      <c r="B39" s="695"/>
      <c r="C39" s="704">
        <f ca="1">TDSelected!G18</f>
        <v>360</v>
      </c>
      <c r="D39" s="705">
        <f t="shared" ca="1" si="3"/>
        <v>4.5</v>
      </c>
      <c r="E39" s="705">
        <f t="shared" ca="1" si="4"/>
        <v>8</v>
      </c>
      <c r="F39" s="705">
        <f ca="1">TDSelected!H18+TDSelected!$D$29-TDSelected!$D$26-TDSelected!$G$26-TDSelected!$G$29</f>
        <v>24.5</v>
      </c>
      <c r="G39" s="705">
        <f t="shared" ca="1" si="2"/>
        <v>24.5</v>
      </c>
      <c r="H39" s="705">
        <v>21</v>
      </c>
      <c r="I39" s="705">
        <f ca="1">IF(TDSelected!$H$4=2,105,100)</f>
        <v>105</v>
      </c>
      <c r="J39" s="705">
        <f>TDSelected!$E$5</f>
        <v>10</v>
      </c>
      <c r="K39" s="706">
        <f ca="1">POWER(10,((TDSelected!I43+D39-E39-G39+H39+I39+J39)/-20))</f>
        <v>2.2387211385683389E-2</v>
      </c>
      <c r="L39" s="707" t="b">
        <f ca="1">((F39-G39)&gt;(TDSelected!$H18-0.5))</f>
        <v>0</v>
      </c>
      <c r="M39" s="695"/>
    </row>
    <row r="40" spans="1:13" x14ac:dyDescent="0.2">
      <c r="A40" s="155"/>
      <c r="B40" s="695"/>
      <c r="C40" s="704">
        <f ca="1">TDSelected!G19</f>
        <v>405</v>
      </c>
      <c r="D40" s="705">
        <f t="shared" ca="1" si="3"/>
        <v>4.5</v>
      </c>
      <c r="E40" s="705">
        <f t="shared" ca="1" si="4"/>
        <v>8</v>
      </c>
      <c r="F40" s="705">
        <f ca="1">TDSelected!H19+TDSelected!$D$29-TDSelected!$D$26-TDSelected!$G$26-TDSelected!$G$29</f>
        <v>23.5</v>
      </c>
      <c r="G40" s="705">
        <f t="shared" ca="1" si="2"/>
        <v>23.5</v>
      </c>
      <c r="H40" s="705">
        <v>23</v>
      </c>
      <c r="I40" s="705">
        <f ca="1">IF(TDSelected!$H$4=2,105,100)</f>
        <v>105</v>
      </c>
      <c r="J40" s="705">
        <f>TDSelected!$E$5</f>
        <v>10</v>
      </c>
      <c r="K40" s="706">
        <f ca="1">POWER(10,((TDSelected!I44+D40-E40-G40+H40+I40+J40)/-20))</f>
        <v>1.2589254117941664E-2</v>
      </c>
      <c r="L40" s="707" t="b">
        <f ca="1">((F40-G40)&gt;(TDSelected!$H19-0.5))</f>
        <v>0</v>
      </c>
      <c r="M40" s="695"/>
    </row>
    <row r="41" spans="1:13" x14ac:dyDescent="0.2">
      <c r="A41" s="155"/>
      <c r="B41" s="695"/>
      <c r="C41" s="704">
        <f ca="1">TDSelected!G20</f>
        <v>450</v>
      </c>
      <c r="D41" s="705">
        <f t="shared" ca="1" si="3"/>
        <v>4.5</v>
      </c>
      <c r="E41" s="705">
        <f t="shared" ca="1" si="4"/>
        <v>8</v>
      </c>
      <c r="F41" s="705">
        <f ca="1">TDSelected!H20+TDSelected!$D$29-TDSelected!$D$26-TDSelected!$G$26-TDSelected!$G$29</f>
        <v>23.5</v>
      </c>
      <c r="G41" s="705">
        <f t="shared" ca="1" si="2"/>
        <v>23.5</v>
      </c>
      <c r="H41" s="705">
        <v>28</v>
      </c>
      <c r="I41" s="705">
        <f ca="1">IF(TDSelected!$H$4=2,105,100)</f>
        <v>105</v>
      </c>
      <c r="J41" s="705">
        <f>TDSelected!$E$5</f>
        <v>10</v>
      </c>
      <c r="K41" s="706">
        <f ca="1">POWER(10,((TDSelected!I45+D41-E41-G41+H41+I41+J41)/-20))</f>
        <v>6.3095734448019251E-3</v>
      </c>
      <c r="L41" s="707" t="b">
        <f ca="1">((F41-G41)&gt;(TDSelected!$H20-0.5))</f>
        <v>0</v>
      </c>
      <c r="M41" s="695"/>
    </row>
    <row r="42" spans="1:13" x14ac:dyDescent="0.2">
      <c r="A42" s="155"/>
      <c r="B42" s="695"/>
      <c r="C42" s="704" t="str">
        <f ca="1">IF(TDSelected!G21=0,"",TDSelected!G21)</f>
        <v/>
      </c>
      <c r="D42" s="705">
        <f t="shared" ca="1" si="3"/>
        <v>4.5</v>
      </c>
      <c r="E42" s="705">
        <f t="shared" ca="1" si="4"/>
        <v>8</v>
      </c>
      <c r="F42" s="705">
        <f ca="1">TDSelected!H21+TDSelected!$D$29-TDSelected!$D$26-TDSelected!$G$26-TDSelected!$G$29</f>
        <v>3.5</v>
      </c>
      <c r="G42" s="705">
        <f t="shared" ca="1" si="2"/>
        <v>3.5</v>
      </c>
      <c r="H42" s="705">
        <v>32</v>
      </c>
      <c r="I42" s="705">
        <f ca="1">IF(TDSelected!$H$4=2,105,100)</f>
        <v>105</v>
      </c>
      <c r="J42" s="705">
        <f>TDSelected!$E$5</f>
        <v>10</v>
      </c>
      <c r="K42" s="706">
        <f ca="1">POWER(10,((TDSelected!I46+D42-E42-G42+H42+I42+J42)/-20))</f>
        <v>2.8183829312644545E-4</v>
      </c>
      <c r="L42" s="707" t="str">
        <f ca="1">IF(C42="","",((F42-G42)&gt;(TDSelected!$H21-0.5)))</f>
        <v/>
      </c>
      <c r="M42" s="695"/>
    </row>
    <row r="43" spans="1:13" x14ac:dyDescent="0.2">
      <c r="A43" s="155"/>
      <c r="B43" s="695"/>
      <c r="C43" s="704" t="str">
        <f ca="1">IF(TDSelected!G22=0,"",TDSelected!G22)</f>
        <v/>
      </c>
      <c r="D43" s="705">
        <f t="shared" ca="1" si="3"/>
        <v>4.5</v>
      </c>
      <c r="E43" s="705">
        <f t="shared" ca="1" si="4"/>
        <v>8</v>
      </c>
      <c r="F43" s="742">
        <f ca="1">TDSelected!H22+TDSelected!$D$29-TDSelected!$D$26-TDSelected!$G$26-TDSelected!$G$29</f>
        <v>3.5</v>
      </c>
      <c r="G43" s="705">
        <f t="shared" ca="1" si="2"/>
        <v>3.5</v>
      </c>
      <c r="H43" s="705">
        <v>34</v>
      </c>
      <c r="I43" s="705">
        <f ca="1">IF(TDSelected!$H$4=2,105,100)</f>
        <v>105</v>
      </c>
      <c r="J43" s="705">
        <f>TDSelected!$E$5</f>
        <v>10</v>
      </c>
      <c r="K43" s="706">
        <f ca="1">POWER(10,((TDSelected!I47+D43-E43-G43+H43+I43+J43)/-20))</f>
        <v>1.584893192461112E-4</v>
      </c>
      <c r="L43" s="707" t="str">
        <f ca="1">IF(C43="","",((F43-G43)&gt;(TDSelected!$H22-0.5)))</f>
        <v/>
      </c>
      <c r="M43" s="695"/>
    </row>
    <row r="44" spans="1:13" x14ac:dyDescent="0.2">
      <c r="A44" s="155"/>
      <c r="B44" s="695"/>
      <c r="C44" s="704" t="str">
        <f ca="1">IF(TDSelected!G23=0,"",TDSelected!G23)</f>
        <v/>
      </c>
      <c r="D44" s="705">
        <f t="shared" ca="1" si="3"/>
        <v>4.5</v>
      </c>
      <c r="E44" s="705">
        <f t="shared" ca="1" si="4"/>
        <v>8</v>
      </c>
      <c r="F44" s="705">
        <f ca="1">TDSelected!H23+TDSelected!$D$29-TDSelected!$D$26-TDSelected!$G$26-TDSelected!$G$29</f>
        <v>3.5</v>
      </c>
      <c r="G44" s="709">
        <f t="shared" ca="1" si="2"/>
        <v>3.5</v>
      </c>
      <c r="H44" s="709"/>
      <c r="I44" s="709">
        <f ca="1">IF(TDSelected!$H$4=2,105,100)</f>
        <v>105</v>
      </c>
      <c r="J44" s="705">
        <f>TDSelected!$E$5</f>
        <v>10</v>
      </c>
      <c r="K44" s="710" t="str">
        <f ca="1">IF(C44="","",POWER(10,((TDSelected!I48+D44-E44-G44+I44+J44)/-20)))</f>
        <v/>
      </c>
      <c r="L44" s="711" t="str">
        <f ca="1">IF(C44="","",((F44-G44)&gt;(TDSelected!$H23-0.5)))</f>
        <v/>
      </c>
      <c r="M44" s="695"/>
    </row>
    <row r="45" spans="1:13" x14ac:dyDescent="0.2">
      <c r="A45" s="155"/>
      <c r="B45" s="695"/>
      <c r="C45" s="701"/>
      <c r="D45" s="701"/>
      <c r="E45" s="701"/>
      <c r="F45" s="701"/>
      <c r="G45" s="705"/>
      <c r="H45" s="705"/>
      <c r="I45" s="705"/>
      <c r="J45" s="701"/>
      <c r="K45" s="705"/>
      <c r="L45" s="705"/>
      <c r="M45" s="695"/>
    </row>
    <row r="46" spans="1:13" x14ac:dyDescent="0.2">
      <c r="A46" s="155"/>
      <c r="B46" s="695"/>
      <c r="C46" s="705"/>
      <c r="D46" s="705"/>
      <c r="E46" s="705"/>
      <c r="F46" s="705"/>
      <c r="G46" s="705"/>
      <c r="H46" s="705"/>
      <c r="I46" s="705"/>
      <c r="J46" s="705"/>
      <c r="K46" s="705"/>
      <c r="L46" s="705"/>
      <c r="M46" s="695"/>
    </row>
    <row r="47" spans="1:13" ht="10.5" x14ac:dyDescent="0.25">
      <c r="A47" s="155"/>
      <c r="B47" s="696" t="s">
        <v>95</v>
      </c>
      <c r="C47" s="698" t="s">
        <v>2</v>
      </c>
      <c r="D47" s="699" t="s">
        <v>56</v>
      </c>
      <c r="E47" s="699" t="s">
        <v>57</v>
      </c>
      <c r="F47" s="712" t="s">
        <v>58</v>
      </c>
      <c r="G47" s="712" t="s">
        <v>59</v>
      </c>
      <c r="H47" s="712" t="s">
        <v>691</v>
      </c>
      <c r="I47" s="712" t="s">
        <v>692</v>
      </c>
      <c r="J47" s="712" t="s">
        <v>61</v>
      </c>
      <c r="K47" s="699" t="s">
        <v>74</v>
      </c>
      <c r="L47" s="699" t="s">
        <v>64</v>
      </c>
      <c r="M47" s="695"/>
    </row>
    <row r="48" spans="1:13" x14ac:dyDescent="0.2">
      <c r="A48" s="155"/>
      <c r="B48" s="695"/>
      <c r="C48" s="700">
        <f ca="1">TDSelected!G38</f>
        <v>45</v>
      </c>
      <c r="D48" s="701">
        <f ca="1">D20</f>
        <v>4.5</v>
      </c>
      <c r="E48" s="701">
        <f ca="1">E20</f>
        <v>8</v>
      </c>
      <c r="F48" s="705">
        <f ca="1">TDSelected!H38+TDSelected!$D$54-TDSelected!$D$51-TDSelected!$G$51-TDSelected!$G$54</f>
        <v>24.5</v>
      </c>
      <c r="G48" s="705">
        <f t="shared" ref="G48:G58" ca="1" si="5">IF(F48&gt;$C$2,$C$2,F48)</f>
        <v>24.5</v>
      </c>
      <c r="H48" s="705">
        <v>5</v>
      </c>
      <c r="I48" s="705">
        <f ca="1">IF(TDSelected!$H$4=2,105,100)</f>
        <v>105</v>
      </c>
      <c r="J48" s="705">
        <f>TDSelected!$E$5</f>
        <v>10</v>
      </c>
      <c r="K48" s="702">
        <f ca="1">POWER(10,((TDSelected!I13+D48-E48-G48+H48+I48+J48)/-20))</f>
        <v>0.70794578438413791</v>
      </c>
      <c r="L48" s="703" t="b">
        <f ca="1">((F48-G48)&gt;(TDSelected!$H38-0.5))</f>
        <v>0</v>
      </c>
      <c r="M48" s="695"/>
    </row>
    <row r="49" spans="1:13" x14ac:dyDescent="0.2">
      <c r="A49" s="155"/>
      <c r="B49" s="695"/>
      <c r="C49" s="704">
        <f ca="1">TDSelected!G39</f>
        <v>90</v>
      </c>
      <c r="D49" s="705">
        <f ca="1">D21</f>
        <v>4.5</v>
      </c>
      <c r="E49" s="705">
        <f ca="1">E21</f>
        <v>8</v>
      </c>
      <c r="F49" s="705">
        <f ca="1">TDSelected!H39+TDSelected!$D$54-TDSelected!$D$51-TDSelected!$G$51-TDSelected!$G$54</f>
        <v>24.5</v>
      </c>
      <c r="G49" s="705">
        <f t="shared" ca="1" si="5"/>
        <v>24.5</v>
      </c>
      <c r="H49" s="705">
        <v>8</v>
      </c>
      <c r="I49" s="705">
        <f ca="1">IF(TDSelected!$H$4=2,105,100)</f>
        <v>105</v>
      </c>
      <c r="J49" s="705">
        <f>TDSelected!$E$5</f>
        <v>10</v>
      </c>
      <c r="K49" s="706">
        <f ca="1">POWER(10,((TDSelected!I14+D49-E49-G49+H49+I49+J49)/-20))</f>
        <v>0.3981071705534972</v>
      </c>
      <c r="L49" s="707" t="b">
        <f ca="1">((F49-G49)&gt;(TDSelected!$H39-0.5))</f>
        <v>0</v>
      </c>
      <c r="M49" s="695"/>
    </row>
    <row r="50" spans="1:13" x14ac:dyDescent="0.2">
      <c r="A50" s="155"/>
      <c r="B50" s="695"/>
      <c r="C50" s="704">
        <f ca="1">TDSelected!G40</f>
        <v>135</v>
      </c>
      <c r="D50" s="705">
        <f t="shared" ref="D50:E58" ca="1" si="6">D22</f>
        <v>4.5</v>
      </c>
      <c r="E50" s="705">
        <f t="shared" ca="1" si="6"/>
        <v>8</v>
      </c>
      <c r="F50" s="705">
        <f ca="1">TDSelected!H40+TDSelected!$D$54-TDSelected!$D$51-TDSelected!$G$51-TDSelected!$G$54</f>
        <v>24.5</v>
      </c>
      <c r="G50" s="705">
        <f t="shared" ca="1" si="5"/>
        <v>24.5</v>
      </c>
      <c r="H50" s="705">
        <v>12</v>
      </c>
      <c r="I50" s="705">
        <f ca="1">IF(TDSelected!$H$4=2,105,100)</f>
        <v>105</v>
      </c>
      <c r="J50" s="705">
        <f>TDSelected!$E$5</f>
        <v>10</v>
      </c>
      <c r="K50" s="706">
        <f ca="1">POWER(10,((TDSelected!I15+D50-E50-G50+H50+I50+J50)/-20))</f>
        <v>0.14125375446227542</v>
      </c>
      <c r="L50" s="707" t="b">
        <f ca="1">((F50-G50)&gt;(TDSelected!$H40-0.5))</f>
        <v>0</v>
      </c>
      <c r="M50" s="695"/>
    </row>
    <row r="51" spans="1:13" x14ac:dyDescent="0.2">
      <c r="A51" s="155"/>
      <c r="B51" s="695"/>
      <c r="C51" s="704">
        <f ca="1">TDSelected!G41</f>
        <v>180</v>
      </c>
      <c r="D51" s="705">
        <f t="shared" ca="1" si="6"/>
        <v>4.5</v>
      </c>
      <c r="E51" s="705">
        <f t="shared" ca="1" si="6"/>
        <v>8</v>
      </c>
      <c r="F51" s="705">
        <f ca="1">TDSelected!H41+TDSelected!$D$54-TDSelected!$D$51-TDSelected!$G$51-TDSelected!$G$54</f>
        <v>23.5</v>
      </c>
      <c r="G51" s="705">
        <f t="shared" ca="1" si="5"/>
        <v>23.5</v>
      </c>
      <c r="H51" s="705">
        <v>14</v>
      </c>
      <c r="I51" s="705">
        <f ca="1">IF(TDSelected!$H$4=2,105,100)</f>
        <v>105</v>
      </c>
      <c r="J51" s="705">
        <f>TDSelected!$E$5</f>
        <v>10</v>
      </c>
      <c r="K51" s="706">
        <f ca="1">POWER(10,((TDSelected!I16+D51-E51-G51+H51+I51+J51)/-20))</f>
        <v>6.3095734448019317E-2</v>
      </c>
      <c r="L51" s="707" t="b">
        <f ca="1">((F51-G51)&gt;(TDSelected!$H41-0.5))</f>
        <v>0</v>
      </c>
      <c r="M51" s="695"/>
    </row>
    <row r="52" spans="1:13" x14ac:dyDescent="0.2">
      <c r="A52" s="155"/>
      <c r="B52" s="695"/>
      <c r="C52" s="704">
        <f ca="1">TDSelected!G42</f>
        <v>270</v>
      </c>
      <c r="D52" s="705">
        <f t="shared" ca="1" si="6"/>
        <v>4.5</v>
      </c>
      <c r="E52" s="705">
        <f t="shared" ca="1" si="6"/>
        <v>8</v>
      </c>
      <c r="F52" s="705">
        <f ca="1">TDSelected!H42+TDSelected!$D$54-TDSelected!$D$51-TDSelected!$G$51-TDSelected!$G$54</f>
        <v>22.5</v>
      </c>
      <c r="G52" s="705">
        <f t="shared" ca="1" si="5"/>
        <v>22.5</v>
      </c>
      <c r="H52" s="705">
        <v>18</v>
      </c>
      <c r="I52" s="705">
        <f ca="1">IF(TDSelected!$H$4=2,105,100)</f>
        <v>105</v>
      </c>
      <c r="J52" s="705">
        <f>TDSelected!$E$5</f>
        <v>10</v>
      </c>
      <c r="K52" s="706">
        <f ca="1">POWER(10,((TDSelected!I17+D52-E52-G52+H52+I52+J52)/-20))</f>
        <v>3.1622776601683784E-2</v>
      </c>
      <c r="L52" s="707" t="b">
        <f ca="1">((F52-G52)&gt;(TDSelected!$H42-0.5))</f>
        <v>0</v>
      </c>
      <c r="M52" s="695"/>
    </row>
    <row r="53" spans="1:13" x14ac:dyDescent="0.2">
      <c r="A53" s="155"/>
      <c r="B53" s="695"/>
      <c r="C53" s="704">
        <f ca="1">TDSelected!G43</f>
        <v>360</v>
      </c>
      <c r="D53" s="705">
        <f t="shared" ca="1" si="6"/>
        <v>4.5</v>
      </c>
      <c r="E53" s="705">
        <f t="shared" ca="1" si="6"/>
        <v>8</v>
      </c>
      <c r="F53" s="705">
        <f ca="1">TDSelected!H43+TDSelected!$D$54-TDSelected!$D$51-TDSelected!$G$51-TDSelected!$G$54</f>
        <v>21.5</v>
      </c>
      <c r="G53" s="705">
        <f t="shared" ca="1" si="5"/>
        <v>21.5</v>
      </c>
      <c r="H53" s="705">
        <v>21</v>
      </c>
      <c r="I53" s="705">
        <f ca="1">IF(TDSelected!$H$4=2,105,100)</f>
        <v>105</v>
      </c>
      <c r="J53" s="705">
        <f>TDSelected!$E$5</f>
        <v>10</v>
      </c>
      <c r="K53" s="706">
        <f ca="1">POWER(10,((TDSelected!I18+D53-E53-G53+H53+I53+J53)/-20))</f>
        <v>1.7782794100389226E-2</v>
      </c>
      <c r="L53" s="707" t="b">
        <f ca="1">((F53-G53)&gt;(TDSelected!$H43-0.5))</f>
        <v>0</v>
      </c>
      <c r="M53" s="695"/>
    </row>
    <row r="54" spans="1:13" x14ac:dyDescent="0.2">
      <c r="A54" s="155"/>
      <c r="B54" s="695"/>
      <c r="C54" s="704">
        <f ca="1">TDSelected!G44</f>
        <v>405</v>
      </c>
      <c r="D54" s="705">
        <f t="shared" ca="1" si="6"/>
        <v>4.5</v>
      </c>
      <c r="E54" s="705">
        <f t="shared" ca="1" si="6"/>
        <v>8</v>
      </c>
      <c r="F54" s="705">
        <f ca="1">TDSelected!H44+TDSelected!$D$54-TDSelected!$D$51-TDSelected!$G$51-TDSelected!$G$54</f>
        <v>21.5</v>
      </c>
      <c r="G54" s="705">
        <f t="shared" ca="1" si="5"/>
        <v>21.5</v>
      </c>
      <c r="H54" s="705">
        <v>23</v>
      </c>
      <c r="I54" s="705">
        <f ca="1">IF(TDSelected!$H$4=2,105,100)</f>
        <v>105</v>
      </c>
      <c r="J54" s="705">
        <f>TDSelected!$E$5</f>
        <v>10</v>
      </c>
      <c r="K54" s="706">
        <f ca="1">POWER(10,((TDSelected!I19+D54-E54-G54+H54+I54+J54)/-20))</f>
        <v>1.2589254117941664E-2</v>
      </c>
      <c r="L54" s="707" t="b">
        <f ca="1">((F54-G54)&gt;(TDSelected!$H44-0.5))</f>
        <v>0</v>
      </c>
      <c r="M54" s="695"/>
    </row>
    <row r="55" spans="1:13" x14ac:dyDescent="0.2">
      <c r="A55" s="155"/>
      <c r="B55" s="695"/>
      <c r="C55" s="704">
        <f ca="1">TDSelected!G45</f>
        <v>450</v>
      </c>
      <c r="D55" s="705">
        <f t="shared" ca="1" si="6"/>
        <v>4.5</v>
      </c>
      <c r="E55" s="705">
        <f t="shared" ca="1" si="6"/>
        <v>8</v>
      </c>
      <c r="F55" s="705">
        <f ca="1">TDSelected!H45+TDSelected!$D$54-TDSelected!$D$51-TDSelected!$G$51-TDSelected!$G$54</f>
        <v>20.5</v>
      </c>
      <c r="G55" s="705">
        <f t="shared" ca="1" si="5"/>
        <v>20.5</v>
      </c>
      <c r="H55" s="705">
        <v>28</v>
      </c>
      <c r="I55" s="705">
        <f ca="1">IF(TDSelected!$H$4=2,105,100)</f>
        <v>105</v>
      </c>
      <c r="J55" s="705">
        <f>TDSelected!$E$5</f>
        <v>10</v>
      </c>
      <c r="K55" s="706">
        <f ca="1">POWER(10,((TDSelected!I20+D55-E55-G55+H55+I55+J55)/-20))</f>
        <v>3.9810717055349717E-3</v>
      </c>
      <c r="L55" s="707" t="b">
        <f ca="1">((F55-G55)&gt;(TDSelected!$H45-0.5))</f>
        <v>0</v>
      </c>
      <c r="M55" s="695"/>
    </row>
    <row r="56" spans="1:13" x14ac:dyDescent="0.2">
      <c r="A56" s="155"/>
      <c r="B56" s="695"/>
      <c r="C56" s="704">
        <f ca="1">IF(TDSelected!G46=0,"",TDSelected!G46)</f>
        <v>540</v>
      </c>
      <c r="D56" s="705">
        <f t="shared" ca="1" si="6"/>
        <v>4.5</v>
      </c>
      <c r="E56" s="705">
        <f t="shared" ca="1" si="6"/>
        <v>8</v>
      </c>
      <c r="F56" s="705">
        <f ca="1">TDSelected!H46+TDSelected!$D$54-TDSelected!$D$51-TDSelected!$G$51-TDSelected!$G$54</f>
        <v>19.5</v>
      </c>
      <c r="G56" s="705">
        <f t="shared" ca="1" si="5"/>
        <v>19.5</v>
      </c>
      <c r="H56" s="705">
        <v>32</v>
      </c>
      <c r="I56" s="705">
        <f ca="1">IF(TDSelected!$H$4=2,105,100)</f>
        <v>105</v>
      </c>
      <c r="J56" s="705">
        <f>TDSelected!$E$5</f>
        <v>10</v>
      </c>
      <c r="K56" s="706">
        <f ca="1">POWER(10,((TDSelected!I21+D56-E56-G56+H56+I56+J56)/-20))</f>
        <v>6.3095734448019254E-7</v>
      </c>
      <c r="L56" s="707" t="b">
        <f ca="1">IF(C56="","",((F56-G56)&gt;(TDSelected!$H46-0.5)))</f>
        <v>0</v>
      </c>
      <c r="M56" s="695"/>
    </row>
    <row r="57" spans="1:13" x14ac:dyDescent="0.2">
      <c r="A57" s="155"/>
      <c r="B57" s="695"/>
      <c r="C57" s="704">
        <f ca="1">IF(TDSelected!G47=0,"",TDSelected!G47)</f>
        <v>600</v>
      </c>
      <c r="D57" s="705">
        <f t="shared" ca="1" si="6"/>
        <v>4.5</v>
      </c>
      <c r="E57" s="705">
        <f t="shared" ca="1" si="6"/>
        <v>8</v>
      </c>
      <c r="F57" s="705">
        <f ca="1">TDSelected!H47+TDSelected!$D$54-TDSelected!$D$51-TDSelected!$G$51-TDSelected!$G$54</f>
        <v>18.5</v>
      </c>
      <c r="G57" s="705">
        <f t="shared" ca="1" si="5"/>
        <v>18.5</v>
      </c>
      <c r="H57" s="705">
        <v>34</v>
      </c>
      <c r="I57" s="705">
        <f ca="1">IF(TDSelected!$H$4=2,105,100)</f>
        <v>105</v>
      </c>
      <c r="J57" s="705">
        <f>TDSelected!$E$5</f>
        <v>10</v>
      </c>
      <c r="K57" s="706">
        <f ca="1">POWER(10,((TDSelected!I22+D57-E57-G57+H57+I57+J57)/-20))</f>
        <v>4.4668359215096327E-7</v>
      </c>
      <c r="L57" s="707" t="b">
        <f ca="1">IF(C57="","",((F57-G57)&gt;(TDSelected!$H47-0.5)))</f>
        <v>0</v>
      </c>
      <c r="M57" s="695"/>
    </row>
    <row r="58" spans="1:13" x14ac:dyDescent="0.2">
      <c r="A58" s="155"/>
      <c r="B58" s="695"/>
      <c r="C58" s="704" t="str">
        <f ca="1">IF(TDSelected!G48=0,"",TDSelected!G48)</f>
        <v/>
      </c>
      <c r="D58" s="705">
        <f t="shared" ca="1" si="6"/>
        <v>4.5</v>
      </c>
      <c r="E58" s="705">
        <f t="shared" ca="1" si="6"/>
        <v>8</v>
      </c>
      <c r="F58" s="705">
        <f ca="1">TDSelected!H48+TDSelected!$D$54-TDSelected!$D$51-TDSelected!$G$51-TDSelected!$G$54</f>
        <v>3.5</v>
      </c>
      <c r="G58" s="709">
        <f t="shared" ca="1" si="5"/>
        <v>3.5</v>
      </c>
      <c r="H58" s="709"/>
      <c r="I58" s="709">
        <f ca="1">IF(TDSelected!$H$4=2,105,100)</f>
        <v>105</v>
      </c>
      <c r="J58" s="705">
        <f>TDSelected!$E$5</f>
        <v>10</v>
      </c>
      <c r="K58" s="710" t="str">
        <f ca="1">IF(C58="","",POWER(10,((TDSelected!I23+D58-E58-G58+I58+J58)/-20)))</f>
        <v/>
      </c>
      <c r="L58" s="711" t="str">
        <f ca="1">IF(C58="","",((F58-G58)&gt;(TDSelected!$H48-0.5)))</f>
        <v/>
      </c>
      <c r="M58" s="695"/>
    </row>
    <row r="59" spans="1:13" x14ac:dyDescent="0.2">
      <c r="A59" s="155"/>
      <c r="B59" s="695"/>
      <c r="C59" s="701"/>
      <c r="D59" s="701"/>
      <c r="E59" s="701"/>
      <c r="F59" s="701"/>
      <c r="G59" s="705"/>
      <c r="H59" s="705"/>
      <c r="I59" s="705"/>
      <c r="J59" s="701"/>
      <c r="K59" s="705"/>
      <c r="L59" s="705"/>
      <c r="M59" s="695"/>
    </row>
    <row r="60" spans="1:13" ht="10.5" x14ac:dyDescent="0.25">
      <c r="A60" s="155"/>
      <c r="B60" s="695"/>
      <c r="C60" s="705"/>
      <c r="D60" s="705"/>
      <c r="E60" s="705"/>
      <c r="F60" s="705"/>
      <c r="G60" s="705"/>
      <c r="H60" s="705"/>
      <c r="I60" s="705"/>
      <c r="J60" s="696" t="s">
        <v>69</v>
      </c>
      <c r="K60" s="696" t="s">
        <v>47</v>
      </c>
      <c r="L60" s="696" t="s">
        <v>53</v>
      </c>
      <c r="M60" s="695"/>
    </row>
    <row r="61" spans="1:13" x14ac:dyDescent="0.2">
      <c r="A61" s="155"/>
      <c r="B61" s="695"/>
      <c r="C61" s="705"/>
      <c r="D61" s="705"/>
      <c r="E61" s="705"/>
      <c r="F61" s="705"/>
      <c r="G61" s="705"/>
      <c r="H61" s="705"/>
      <c r="I61" s="705"/>
      <c r="J61" s="695"/>
      <c r="K61" s="713">
        <f ca="1">TDSelected!D29-TDSelected!D26-TDSelected!G26-TDSelected!G29</f>
        <v>3.5</v>
      </c>
      <c r="L61" s="714">
        <f ca="1">TDSelected!D54-TDSelected!D51-TDSelected!G51-TDSelected!G54</f>
        <v>3.5</v>
      </c>
      <c r="M61" s="695"/>
    </row>
    <row r="62" spans="1:13" x14ac:dyDescent="0.2">
      <c r="A62" s="155"/>
      <c r="B62" s="695"/>
      <c r="C62" s="705"/>
      <c r="D62" s="705"/>
      <c r="E62" s="705"/>
      <c r="F62" s="705"/>
      <c r="G62" s="705"/>
      <c r="H62" s="705"/>
      <c r="I62" s="705"/>
      <c r="J62" s="705"/>
      <c r="K62" s="705"/>
      <c r="L62" s="705"/>
      <c r="M62" s="695"/>
    </row>
    <row r="63" spans="1:13" ht="10.5" x14ac:dyDescent="0.25">
      <c r="A63" s="155"/>
      <c r="B63" s="695"/>
      <c r="C63" s="705"/>
      <c r="D63" s="705"/>
      <c r="E63" s="705"/>
      <c r="F63" s="705"/>
      <c r="G63" s="705"/>
      <c r="H63" s="705"/>
      <c r="I63" s="705"/>
      <c r="J63" s="868"/>
      <c r="K63" s="868"/>
      <c r="L63" s="705"/>
      <c r="M63" s="695"/>
    </row>
    <row r="64" spans="1:13" ht="10.5" x14ac:dyDescent="0.25">
      <c r="A64" s="155"/>
      <c r="B64" s="695"/>
      <c r="C64" s="695"/>
      <c r="D64" s="695"/>
      <c r="E64" s="695"/>
      <c r="F64" s="695"/>
      <c r="G64" s="695"/>
      <c r="H64" s="695"/>
      <c r="I64" s="695"/>
      <c r="J64" s="868"/>
      <c r="K64" s="868"/>
      <c r="L64" s="715"/>
      <c r="M64" s="695"/>
    </row>
    <row r="65" spans="1:13" ht="10.5" x14ac:dyDescent="0.25">
      <c r="A65" s="155"/>
      <c r="B65" s="695"/>
      <c r="C65" s="695"/>
      <c r="D65" s="695"/>
      <c r="E65" s="695"/>
      <c r="F65" s="695"/>
      <c r="G65" s="695"/>
      <c r="H65" s="695"/>
      <c r="I65" s="695"/>
      <c r="J65" s="868"/>
      <c r="K65" s="868"/>
      <c r="L65" s="715"/>
      <c r="M65" s="695"/>
    </row>
    <row r="66" spans="1:13" x14ac:dyDescent="0.2">
      <c r="A66" s="155"/>
      <c r="B66" s="695"/>
      <c r="C66" s="695"/>
      <c r="D66" s="695"/>
      <c r="E66" s="695"/>
      <c r="F66" s="695"/>
      <c r="G66" s="695"/>
      <c r="H66" s="695"/>
      <c r="I66" s="695"/>
      <c r="J66" s="695"/>
      <c r="K66" s="695"/>
      <c r="L66" s="695"/>
      <c r="M66" s="695"/>
    </row>
    <row r="67" spans="1:13" x14ac:dyDescent="0.2">
      <c r="A67" s="155"/>
      <c r="B67" s="695"/>
      <c r="C67" s="695"/>
      <c r="D67" s="695"/>
      <c r="E67" s="695"/>
      <c r="F67" s="695"/>
      <c r="G67" s="695"/>
      <c r="H67" s="695"/>
      <c r="I67" s="695"/>
      <c r="J67" s="695"/>
      <c r="K67" s="695"/>
      <c r="L67" s="695"/>
      <c r="M67" s="695"/>
    </row>
    <row r="68" spans="1:13" ht="10.5" x14ac:dyDescent="0.25">
      <c r="A68" s="155"/>
      <c r="B68" s="696" t="s">
        <v>60</v>
      </c>
      <c r="C68" s="716" t="s">
        <v>2</v>
      </c>
      <c r="D68" s="696" t="s">
        <v>47</v>
      </c>
      <c r="E68" s="696" t="s">
        <v>53</v>
      </c>
      <c r="F68" s="695"/>
      <c r="G68" s="696" t="s">
        <v>68</v>
      </c>
      <c r="H68" s="696"/>
      <c r="I68" s="696" t="s">
        <v>2</v>
      </c>
      <c r="J68" s="868" t="s">
        <v>77</v>
      </c>
      <c r="K68" s="868"/>
      <c r="L68" s="696" t="s">
        <v>97</v>
      </c>
      <c r="M68" s="695"/>
    </row>
    <row r="69" spans="1:13" ht="10.5" x14ac:dyDescent="0.25">
      <c r="A69" s="155"/>
      <c r="B69" s="717" t="s">
        <v>370</v>
      </c>
      <c r="C69" s="705">
        <f t="shared" ref="C69:C79" ca="1" si="7">C6</f>
        <v>21.6</v>
      </c>
      <c r="D69" s="701" t="b">
        <f t="shared" ref="D69:D76" ca="1" si="8">NOT(F6=G6)</f>
        <v>0</v>
      </c>
      <c r="E69" s="703" t="b">
        <f t="shared" ref="E69:E76" ca="1" si="9">NOT(F20=G20)</f>
        <v>0</v>
      </c>
      <c r="F69" s="695"/>
      <c r="G69" s="696" t="s">
        <v>370</v>
      </c>
      <c r="H69" s="696"/>
      <c r="I69" s="718">
        <f ca="1">C69</f>
        <v>21.6</v>
      </c>
      <c r="J69" s="701"/>
      <c r="K69" s="719">
        <f ca="1">IF(AND(MIN(K6,K20)&gt;54,TDSelected!D4&gt;2),54,MIN(K6,K20))</f>
        <v>0.89125093813374545</v>
      </c>
      <c r="L69" s="720">
        <f t="shared" ref="L69:L76" ca="1" si="10">ROUNDDOWN(I69,0)</f>
        <v>21</v>
      </c>
      <c r="M69" s="695"/>
    </row>
    <row r="70" spans="1:13" x14ac:dyDescent="0.2">
      <c r="A70" s="155"/>
      <c r="B70" s="707"/>
      <c r="C70" s="705">
        <f t="shared" ca="1" si="7"/>
        <v>43.2</v>
      </c>
      <c r="D70" s="705" t="b">
        <f t="shared" ca="1" si="8"/>
        <v>0</v>
      </c>
      <c r="E70" s="707" t="b">
        <f t="shared" ca="1" si="9"/>
        <v>0</v>
      </c>
      <c r="F70" s="695"/>
      <c r="G70" s="695"/>
      <c r="H70" s="695"/>
      <c r="I70" s="721">
        <f ca="1">C70</f>
        <v>43.2</v>
      </c>
      <c r="J70" s="705"/>
      <c r="K70" s="722">
        <f ca="1">IF(AND(MIN(K7,K21)&gt;54,TDSelected!D4&gt;2),54,MIN(K7,K21))</f>
        <v>0.44668359215096315</v>
      </c>
      <c r="L70" s="723">
        <f t="shared" ca="1" si="10"/>
        <v>43</v>
      </c>
      <c r="M70" s="695"/>
    </row>
    <row r="71" spans="1:13" x14ac:dyDescent="0.2">
      <c r="A71" s="155"/>
      <c r="B71" s="707"/>
      <c r="C71" s="705">
        <f t="shared" ca="1" si="7"/>
        <v>65.099999999999994</v>
      </c>
      <c r="D71" s="705" t="b">
        <f t="shared" ca="1" si="8"/>
        <v>0</v>
      </c>
      <c r="E71" s="707" t="b">
        <f t="shared" ca="1" si="9"/>
        <v>0</v>
      </c>
      <c r="F71" s="695"/>
      <c r="G71" s="695"/>
      <c r="H71" s="695"/>
      <c r="I71" s="721">
        <f t="shared" ref="I71:I79" ca="1" si="11">C71</f>
        <v>65.099999999999994</v>
      </c>
      <c r="J71" s="705"/>
      <c r="K71" s="722">
        <f ca="1">IF(AND(MIN(K8,K22)&gt;54,TDSelected!D4&gt;2),54,MIN(K8,K22))</f>
        <v>0.22387211385683392</v>
      </c>
      <c r="L71" s="723">
        <f t="shared" ca="1" si="10"/>
        <v>65</v>
      </c>
      <c r="M71" s="695"/>
    </row>
    <row r="72" spans="1:13" x14ac:dyDescent="0.2">
      <c r="A72" s="155"/>
      <c r="B72" s="707"/>
      <c r="C72" s="705">
        <f t="shared" ca="1" si="7"/>
        <v>86.699999999999989</v>
      </c>
      <c r="D72" s="705" t="b">
        <f t="shared" ca="1" si="8"/>
        <v>0</v>
      </c>
      <c r="E72" s="707" t="b">
        <f t="shared" ca="1" si="9"/>
        <v>0</v>
      </c>
      <c r="F72" s="695"/>
      <c r="G72" s="695"/>
      <c r="H72" s="695"/>
      <c r="I72" s="721">
        <f t="shared" ca="1" si="11"/>
        <v>86.699999999999989</v>
      </c>
      <c r="J72" s="705"/>
      <c r="K72" s="722">
        <f ca="1">IF(AND(MIN(K9,K23)&gt;54,TDSelected!D4&gt;2),54,MIN(K9,K23))</f>
        <v>0.1</v>
      </c>
      <c r="L72" s="723">
        <f t="shared" ca="1" si="10"/>
        <v>86</v>
      </c>
      <c r="M72" s="695"/>
    </row>
    <row r="73" spans="1:13" x14ac:dyDescent="0.2">
      <c r="A73" s="155"/>
      <c r="B73" s="707"/>
      <c r="C73" s="705">
        <f t="shared" ca="1" si="7"/>
        <v>129.89999999999998</v>
      </c>
      <c r="D73" s="705" t="b">
        <f t="shared" ca="1" si="8"/>
        <v>0</v>
      </c>
      <c r="E73" s="707" t="b">
        <f t="shared" ca="1" si="9"/>
        <v>0</v>
      </c>
      <c r="F73" s="695"/>
      <c r="G73" s="695"/>
      <c r="H73" s="695"/>
      <c r="I73" s="721">
        <f t="shared" ca="1" si="11"/>
        <v>129.89999999999998</v>
      </c>
      <c r="J73" s="705"/>
      <c r="K73" s="722">
        <f ca="1">IF(AND(MIN(K10,K24)&gt;54,TDSelected!D4&gt;2),54,MIN(K10,K24))</f>
        <v>3.548133892335753E-2</v>
      </c>
      <c r="L73" s="723">
        <f t="shared" ca="1" si="10"/>
        <v>129</v>
      </c>
      <c r="M73" s="695"/>
    </row>
    <row r="74" spans="1:13" x14ac:dyDescent="0.2">
      <c r="A74" s="155"/>
      <c r="B74" s="707"/>
      <c r="C74" s="705">
        <f t="shared" ca="1" si="7"/>
        <v>173.39999999999998</v>
      </c>
      <c r="D74" s="705" t="b">
        <f t="shared" ca="1" si="8"/>
        <v>0</v>
      </c>
      <c r="E74" s="707" t="b">
        <f t="shared" ca="1" si="9"/>
        <v>0</v>
      </c>
      <c r="F74" s="695"/>
      <c r="G74" s="695"/>
      <c r="H74" s="695"/>
      <c r="I74" s="721">
        <f t="shared" ca="1" si="11"/>
        <v>173.39999999999998</v>
      </c>
      <c r="J74" s="705"/>
      <c r="K74" s="722">
        <f ca="1">MIN(K11,K25)</f>
        <v>1.9952623149688792E-2</v>
      </c>
      <c r="L74" s="723">
        <f t="shared" ca="1" si="10"/>
        <v>173</v>
      </c>
      <c r="M74" s="695"/>
    </row>
    <row r="75" spans="1:13" x14ac:dyDescent="0.2">
      <c r="A75" s="155"/>
      <c r="B75" s="707"/>
      <c r="C75" s="705">
        <f t="shared" ca="1" si="7"/>
        <v>195</v>
      </c>
      <c r="D75" s="705" t="b">
        <f t="shared" ca="1" si="8"/>
        <v>0</v>
      </c>
      <c r="E75" s="707" t="b">
        <f t="shared" ca="1" si="9"/>
        <v>0</v>
      </c>
      <c r="F75" s="695"/>
      <c r="G75" s="695"/>
      <c r="H75" s="695"/>
      <c r="I75" s="721">
        <f t="shared" ca="1" si="11"/>
        <v>195</v>
      </c>
      <c r="J75" s="705"/>
      <c r="K75" s="722">
        <f ca="1">MIN(K12,K26)</f>
        <v>1.2589254117941664E-2</v>
      </c>
      <c r="L75" s="723">
        <f t="shared" ca="1" si="10"/>
        <v>195</v>
      </c>
      <c r="M75" s="695"/>
    </row>
    <row r="76" spans="1:13" x14ac:dyDescent="0.2">
      <c r="A76" s="155"/>
      <c r="B76" s="707"/>
      <c r="C76" s="705">
        <f t="shared" ca="1" si="7"/>
        <v>216.60000000000002</v>
      </c>
      <c r="D76" s="705" t="b">
        <f t="shared" ca="1" si="8"/>
        <v>0</v>
      </c>
      <c r="E76" s="707" t="b">
        <f t="shared" ca="1" si="9"/>
        <v>0</v>
      </c>
      <c r="F76" s="695"/>
      <c r="G76" s="695"/>
      <c r="H76" s="695"/>
      <c r="I76" s="721">
        <f t="shared" ca="1" si="11"/>
        <v>216.60000000000002</v>
      </c>
      <c r="J76" s="705"/>
      <c r="K76" s="722">
        <f ca="1">MIN(K13,K27)</f>
        <v>5.0118723362727212E-3</v>
      </c>
      <c r="L76" s="723">
        <f t="shared" ca="1" si="10"/>
        <v>216</v>
      </c>
      <c r="M76" s="695"/>
    </row>
    <row r="77" spans="1:13" x14ac:dyDescent="0.2">
      <c r="A77" s="155"/>
      <c r="B77" s="707"/>
      <c r="C77" s="705" t="str">
        <f t="shared" ca="1" si="7"/>
        <v/>
      </c>
      <c r="D77" s="705" t="str">
        <f ca="1">IF(C77="","",NOT(F14=G14))</f>
        <v/>
      </c>
      <c r="E77" s="707" t="str">
        <f ca="1">IF(C77="","",NOT(F28=G28))</f>
        <v/>
      </c>
      <c r="F77" s="695"/>
      <c r="G77" s="695"/>
      <c r="H77" s="695"/>
      <c r="I77" s="721" t="str">
        <f t="shared" ca="1" si="11"/>
        <v/>
      </c>
      <c r="J77" s="705"/>
      <c r="K77" s="722" t="str">
        <f ca="1">IF(I77="","",MIN(K14,K28))</f>
        <v/>
      </c>
      <c r="L77" s="723" t="str">
        <f t="shared" ref="L77:L90" ca="1" si="12">IF(ISNUMBER(ROUNDDOWN(I77,0)),ROUNDDOWN(I77,0),"")</f>
        <v/>
      </c>
      <c r="M77" s="695"/>
    </row>
    <row r="78" spans="1:13" x14ac:dyDescent="0.2">
      <c r="A78" s="155"/>
      <c r="B78" s="707"/>
      <c r="C78" s="705" t="str">
        <f t="shared" ca="1" si="7"/>
        <v/>
      </c>
      <c r="D78" s="705" t="str">
        <f ca="1">IF(C78="","",NOT(F15=G15))</f>
        <v/>
      </c>
      <c r="E78" s="707" t="str">
        <f ca="1">IF(C78="","",NOT(F29=G29))</f>
        <v/>
      </c>
      <c r="F78" s="695"/>
      <c r="G78" s="695"/>
      <c r="H78" s="695"/>
      <c r="I78" s="721" t="str">
        <f t="shared" ca="1" si="11"/>
        <v/>
      </c>
      <c r="J78" s="705"/>
      <c r="K78" s="722" t="str">
        <f ca="1">IF(I78="","",MIN(K15,K29))</f>
        <v/>
      </c>
      <c r="L78" s="723" t="str">
        <f t="shared" ca="1" si="12"/>
        <v/>
      </c>
      <c r="M78" s="695"/>
    </row>
    <row r="79" spans="1:13" x14ac:dyDescent="0.2">
      <c r="A79" s="155"/>
      <c r="B79" s="707"/>
      <c r="C79" s="708" t="str">
        <f t="shared" ca="1" si="7"/>
        <v/>
      </c>
      <c r="D79" s="709" t="str">
        <f ca="1">IF(C79="","",NOT(F16=G16))</f>
        <v/>
      </c>
      <c r="E79" s="711" t="str">
        <f ca="1">IF(C79="","",NOT(F30=G30))</f>
        <v/>
      </c>
      <c r="F79" s="695"/>
      <c r="G79" s="695"/>
      <c r="H79" s="695"/>
      <c r="I79" s="724" t="str">
        <f t="shared" ca="1" si="11"/>
        <v/>
      </c>
      <c r="J79" s="709"/>
      <c r="K79" s="725" t="str">
        <f ca="1">IF(I79="","",MIN(K16,K30))</f>
        <v/>
      </c>
      <c r="L79" s="726" t="str">
        <f t="shared" ca="1" si="12"/>
        <v/>
      </c>
      <c r="M79" s="695"/>
    </row>
    <row r="80" spans="1:13" ht="10.5" x14ac:dyDescent="0.25">
      <c r="A80" s="155"/>
      <c r="B80" s="717" t="s">
        <v>369</v>
      </c>
      <c r="C80" s="695">
        <f ca="1">C34</f>
        <v>45</v>
      </c>
      <c r="D80" s="705" t="b">
        <f ca="1">NOT(F34=G34)</f>
        <v>0</v>
      </c>
      <c r="E80" s="703" t="b">
        <f ca="1">NOT(F48=G48)</f>
        <v>0</v>
      </c>
      <c r="F80" s="704"/>
      <c r="G80" s="717" t="s">
        <v>369</v>
      </c>
      <c r="H80" s="698"/>
      <c r="I80" s="721">
        <f ca="1">IF(Errorhandling!C40,C80,"")</f>
        <v>45</v>
      </c>
      <c r="J80" s="705"/>
      <c r="K80" s="722">
        <f ca="1">IF(Errorhandling!C40,IF(AND(MIN(K34,K48)&gt;27,TDSelected!D4&gt;2),27,MIN(K34,K48)),"")</f>
        <v>0.70794578438413791</v>
      </c>
      <c r="L80" s="723">
        <f t="shared" ca="1" si="12"/>
        <v>45</v>
      </c>
      <c r="M80" s="695"/>
    </row>
    <row r="81" spans="1:13" x14ac:dyDescent="0.2">
      <c r="A81" s="155"/>
      <c r="B81" s="707"/>
      <c r="C81" s="695">
        <f t="shared" ref="C81:C90" ca="1" si="13">C35</f>
        <v>90</v>
      </c>
      <c r="D81" s="705" t="b">
        <f ca="1">NOT(F35=G35)</f>
        <v>0</v>
      </c>
      <c r="E81" s="705" t="b">
        <f t="shared" ref="E81:E87" ca="1" si="14">NOT(F49=G49)</f>
        <v>0</v>
      </c>
      <c r="F81" s="704"/>
      <c r="G81" s="707"/>
      <c r="H81" s="705"/>
      <c r="I81" s="721">
        <f ca="1">IF(Errorhandling!C40,C81,"")</f>
        <v>90</v>
      </c>
      <c r="J81" s="705"/>
      <c r="K81" s="722">
        <f ca="1">IF(Errorhandling!C40,IF(AND(MIN(K35,K49)&gt;27,TDSelected!D4&gt;2),27,MIN(K35,K49)),"")</f>
        <v>0.3981071705534972</v>
      </c>
      <c r="L81" s="723">
        <f t="shared" ca="1" si="12"/>
        <v>90</v>
      </c>
      <c r="M81" s="695"/>
    </row>
    <row r="82" spans="1:13" x14ac:dyDescent="0.2">
      <c r="A82" s="155"/>
      <c r="B82" s="707"/>
      <c r="C82" s="695">
        <f t="shared" ca="1" si="13"/>
        <v>135</v>
      </c>
      <c r="D82" s="705" t="b">
        <f t="shared" ref="D82:D87" ca="1" si="15">NOT(F36=G36)</f>
        <v>0</v>
      </c>
      <c r="E82" s="705" t="b">
        <f t="shared" ca="1" si="14"/>
        <v>0</v>
      </c>
      <c r="F82" s="704"/>
      <c r="G82" s="707"/>
      <c r="H82" s="705"/>
      <c r="I82" s="721">
        <f ca="1">IF(Errorhandling!C40,C82,"")</f>
        <v>135</v>
      </c>
      <c r="J82" s="705"/>
      <c r="K82" s="722">
        <f ca="1">IF(Errorhandling!C40,IF(AND(MIN(K36,K50)&gt;27,TDSelected!D4&gt;2),27,MIN(K36,K50)),"")</f>
        <v>0.14125375446227542</v>
      </c>
      <c r="L82" s="723">
        <f t="shared" ca="1" si="12"/>
        <v>135</v>
      </c>
      <c r="M82" s="695"/>
    </row>
    <row r="83" spans="1:13" x14ac:dyDescent="0.2">
      <c r="A83" s="155"/>
      <c r="B83" s="707"/>
      <c r="C83" s="695">
        <f t="shared" ca="1" si="13"/>
        <v>180</v>
      </c>
      <c r="D83" s="705" t="b">
        <f t="shared" ca="1" si="15"/>
        <v>0</v>
      </c>
      <c r="E83" s="705" t="b">
        <f t="shared" ca="1" si="14"/>
        <v>0</v>
      </c>
      <c r="F83" s="704"/>
      <c r="G83" s="707"/>
      <c r="H83" s="705"/>
      <c r="I83" s="721">
        <f ca="1">IF(Errorhandling!C40,C83,"")</f>
        <v>180</v>
      </c>
      <c r="J83" s="705"/>
      <c r="K83" s="722">
        <f ca="1">IF(Errorhandling!C40,IF(AND(MIN(K37,K51)&gt;27,TDSelected!D4&gt;2),27,MIN(K37,K51)),"")</f>
        <v>6.3095734448019317E-2</v>
      </c>
      <c r="L83" s="723">
        <f t="shared" ca="1" si="12"/>
        <v>180</v>
      </c>
      <c r="M83" s="695"/>
    </row>
    <row r="84" spans="1:13" x14ac:dyDescent="0.2">
      <c r="A84" s="155"/>
      <c r="B84" s="707"/>
      <c r="C84" s="695">
        <f t="shared" ca="1" si="13"/>
        <v>270</v>
      </c>
      <c r="D84" s="705" t="b">
        <f t="shared" ca="1" si="15"/>
        <v>0</v>
      </c>
      <c r="E84" s="705" t="b">
        <f t="shared" ca="1" si="14"/>
        <v>0</v>
      </c>
      <c r="F84" s="704"/>
      <c r="G84" s="707"/>
      <c r="H84" s="705"/>
      <c r="I84" s="721">
        <f ca="1">IF(Errorhandling!C40,C84,"")</f>
        <v>270</v>
      </c>
      <c r="J84" s="705"/>
      <c r="K84" s="722">
        <f ca="1">IF(Errorhandling!C40,MIN(K38,K52),"")</f>
        <v>3.1622776601683784E-2</v>
      </c>
      <c r="L84" s="723">
        <f t="shared" ca="1" si="12"/>
        <v>270</v>
      </c>
      <c r="M84" s="695"/>
    </row>
    <row r="85" spans="1:13" x14ac:dyDescent="0.2">
      <c r="A85" s="155"/>
      <c r="B85" s="707"/>
      <c r="C85" s="695">
        <f t="shared" ca="1" si="13"/>
        <v>360</v>
      </c>
      <c r="D85" s="705" t="b">
        <f t="shared" ca="1" si="15"/>
        <v>0</v>
      </c>
      <c r="E85" s="705" t="b">
        <f t="shared" ca="1" si="14"/>
        <v>0</v>
      </c>
      <c r="F85" s="704"/>
      <c r="G85" s="707"/>
      <c r="H85" s="705"/>
      <c r="I85" s="721">
        <f ca="1">IF(Errorhandling!C40,C85,"")</f>
        <v>360</v>
      </c>
      <c r="J85" s="705"/>
      <c r="K85" s="722">
        <f ca="1">IF(Errorhandling!C40,MIN(K39,K53),"")</f>
        <v>1.7782794100389226E-2</v>
      </c>
      <c r="L85" s="723">
        <f t="shared" ca="1" si="12"/>
        <v>360</v>
      </c>
      <c r="M85" s="695"/>
    </row>
    <row r="86" spans="1:13" x14ac:dyDescent="0.2">
      <c r="A86" s="155"/>
      <c r="B86" s="707"/>
      <c r="C86" s="695">
        <f t="shared" ca="1" si="13"/>
        <v>405</v>
      </c>
      <c r="D86" s="705" t="b">
        <f t="shared" ca="1" si="15"/>
        <v>0</v>
      </c>
      <c r="E86" s="705" t="b">
        <f t="shared" ca="1" si="14"/>
        <v>0</v>
      </c>
      <c r="F86" s="704"/>
      <c r="G86" s="707"/>
      <c r="H86" s="705"/>
      <c r="I86" s="721">
        <f ca="1">IF(Errorhandling!C40,C86,"")</f>
        <v>405</v>
      </c>
      <c r="J86" s="705"/>
      <c r="K86" s="722">
        <f ca="1">IF(Errorhandling!C40,MIN(K40,K54),"")</f>
        <v>1.2589254117941664E-2</v>
      </c>
      <c r="L86" s="723">
        <f t="shared" ca="1" si="12"/>
        <v>405</v>
      </c>
      <c r="M86" s="695"/>
    </row>
    <row r="87" spans="1:13" x14ac:dyDescent="0.2">
      <c r="A87" s="155"/>
      <c r="B87" s="707"/>
      <c r="C87" s="695">
        <f t="shared" ca="1" si="13"/>
        <v>450</v>
      </c>
      <c r="D87" s="705" t="b">
        <f t="shared" ca="1" si="15"/>
        <v>0</v>
      </c>
      <c r="E87" s="705" t="b">
        <f t="shared" ca="1" si="14"/>
        <v>0</v>
      </c>
      <c r="F87" s="704"/>
      <c r="G87" s="707"/>
      <c r="H87" s="705"/>
      <c r="I87" s="721">
        <f ca="1">IF(Errorhandling!C40,C87,"")</f>
        <v>450</v>
      </c>
      <c r="J87" s="705"/>
      <c r="K87" s="722">
        <f ca="1">IF(Errorhandling!C40,MIN(K41,K55),"")</f>
        <v>3.9810717055349717E-3</v>
      </c>
      <c r="L87" s="723">
        <f t="shared" ca="1" si="12"/>
        <v>450</v>
      </c>
      <c r="M87" s="695"/>
    </row>
    <row r="88" spans="1:13" x14ac:dyDescent="0.2">
      <c r="A88" s="155"/>
      <c r="B88" s="707"/>
      <c r="C88" s="695" t="str">
        <f t="shared" ca="1" si="13"/>
        <v/>
      </c>
      <c r="D88" s="705" t="str">
        <f ca="1">IF($C88="","",NOT($F42=$G42))</f>
        <v/>
      </c>
      <c r="E88" s="705" t="str">
        <f ca="1">IF($C88="","",NOT($F56=$G56))</f>
        <v/>
      </c>
      <c r="F88" s="704"/>
      <c r="G88" s="707"/>
      <c r="H88" s="705"/>
      <c r="I88" s="721" t="str">
        <f ca="1">C88</f>
        <v/>
      </c>
      <c r="J88" s="705"/>
      <c r="K88" s="722" t="str">
        <f ca="1">IF(I88="","",IF(Errorhandling!C40,MIN(K42,K56),""))</f>
        <v/>
      </c>
      <c r="L88" s="723" t="str">
        <f t="shared" ca="1" si="12"/>
        <v/>
      </c>
      <c r="M88" s="695"/>
    </row>
    <row r="89" spans="1:13" x14ac:dyDescent="0.2">
      <c r="A89" s="155"/>
      <c r="B89" s="707"/>
      <c r="C89" s="695" t="str">
        <f t="shared" ca="1" si="13"/>
        <v/>
      </c>
      <c r="D89" s="705" t="str">
        <f ca="1">IF(C89="","",NOT(F43=G43))</f>
        <v/>
      </c>
      <c r="E89" s="705" t="str">
        <f ca="1">IF($C89="","",NOT($F57=$G57))</f>
        <v/>
      </c>
      <c r="F89" s="704"/>
      <c r="G89" s="707"/>
      <c r="H89" s="705"/>
      <c r="I89" s="721" t="str">
        <f ca="1">C89</f>
        <v/>
      </c>
      <c r="J89" s="705"/>
      <c r="K89" s="722" t="str">
        <f ca="1">IF(I89="","",IF(Errorhandling!C40,MIN(K43,K57),""))</f>
        <v/>
      </c>
      <c r="L89" s="723" t="str">
        <f t="shared" ca="1" si="12"/>
        <v/>
      </c>
      <c r="M89" s="695"/>
    </row>
    <row r="90" spans="1:13" x14ac:dyDescent="0.2">
      <c r="A90" s="155"/>
      <c r="B90" s="707"/>
      <c r="C90" s="695" t="str">
        <f t="shared" ca="1" si="13"/>
        <v/>
      </c>
      <c r="D90" s="705" t="str">
        <f ca="1">IF(C90="","",NOT(F44=G44))</f>
        <v/>
      </c>
      <c r="E90" s="705" t="str">
        <f ca="1">IF($C90="","",NOT($F58=$G58))</f>
        <v/>
      </c>
      <c r="F90" s="704"/>
      <c r="G90" s="707"/>
      <c r="H90" s="705"/>
      <c r="I90" s="724" t="str">
        <f ca="1">C90</f>
        <v/>
      </c>
      <c r="J90" s="709"/>
      <c r="K90" s="725" t="str">
        <f ca="1">IF(I90="","",IF(Errorhandling!C40,MIN(K44,K58),""))</f>
        <v/>
      </c>
      <c r="L90" s="726" t="str">
        <f t="shared" ca="1" si="12"/>
        <v/>
      </c>
      <c r="M90" s="695"/>
    </row>
    <row r="91" spans="1:13" x14ac:dyDescent="0.2">
      <c r="A91" s="155"/>
      <c r="B91" s="155"/>
      <c r="C91" s="96"/>
      <c r="D91" s="96"/>
      <c r="E91" s="96"/>
      <c r="F91" s="155"/>
      <c r="G91" s="155"/>
      <c r="H91" s="155"/>
      <c r="I91" s="718">
        <v>65</v>
      </c>
      <c r="J91" s="701"/>
      <c r="K91" s="719">
        <f ca="1">IF(AND(MIN(K159,K173)&gt;54,TDSelected!D4&gt;2),54,MIN(K159,K173))</f>
        <v>0.50118723362727224</v>
      </c>
      <c r="L91" s="720">
        <f t="shared" ref="L91:L98" si="16">ROUNDDOWN(I91,0)</f>
        <v>65</v>
      </c>
      <c r="M91" s="155"/>
    </row>
    <row r="92" spans="1:13" x14ac:dyDescent="0.2">
      <c r="A92" s="155"/>
      <c r="I92" s="721">
        <v>130</v>
      </c>
      <c r="J92" s="705"/>
      <c r="K92" s="722">
        <f ca="1">IF(AND(MIN(K160,K174)&gt;54,TDSelected!D5&gt;2),54,MIN(K160,K174))</f>
        <v>0.28183829312644532</v>
      </c>
      <c r="L92" s="723">
        <f t="shared" si="16"/>
        <v>130</v>
      </c>
      <c r="M92" s="155"/>
    </row>
    <row r="93" spans="1:13" x14ac:dyDescent="0.2">
      <c r="A93" s="24"/>
      <c r="I93" s="721">
        <v>195</v>
      </c>
      <c r="J93" s="705"/>
      <c r="K93" s="722">
        <f ca="1">IF(AND(MIN(K161,K175)&gt;54,TDSelected!D6&gt;2),54,MIN(K161,K175))</f>
        <v>0.12589254117941667</v>
      </c>
      <c r="L93" s="723">
        <f t="shared" si="16"/>
        <v>195</v>
      </c>
      <c r="M93" s="155"/>
    </row>
    <row r="94" spans="1:13" x14ac:dyDescent="0.2">
      <c r="A94" s="24"/>
      <c r="I94" s="721">
        <v>260</v>
      </c>
      <c r="J94" s="705"/>
      <c r="K94" s="722">
        <f ca="1">IF(AND(MIN(K162,K176)&gt;54,TDSelected!D7&gt;2),54,MIN(K162,K176))</f>
        <v>6.3095734448019317E-2</v>
      </c>
      <c r="L94" s="723">
        <f t="shared" si="16"/>
        <v>260</v>
      </c>
      <c r="M94" s="155"/>
    </row>
    <row r="95" spans="1:13" ht="12.75" customHeight="1" x14ac:dyDescent="0.2">
      <c r="A95" s="24"/>
      <c r="I95" s="721">
        <v>390</v>
      </c>
      <c r="J95" s="705"/>
      <c r="K95" s="722">
        <f ca="1">IF(AND(MIN(K163,K177)&gt;54,TDSelected!D8&gt;2),54,MIN(K163,K177))</f>
        <v>2.511886431509578E-2</v>
      </c>
      <c r="L95" s="723">
        <f t="shared" si="16"/>
        <v>390</v>
      </c>
      <c r="M95" s="155"/>
    </row>
    <row r="96" spans="1:13" ht="12.75" customHeight="1" x14ac:dyDescent="0.2">
      <c r="A96" s="24"/>
      <c r="I96" s="721">
        <v>520</v>
      </c>
      <c r="J96" s="705"/>
      <c r="K96" s="722">
        <f ca="1">IF(AND(MIN(K164,K178)&gt;54,TDSelected!D9&gt;2),54,MIN(K164,K178))</f>
        <v>0.01</v>
      </c>
      <c r="L96" s="723">
        <f t="shared" si="16"/>
        <v>520</v>
      </c>
    </row>
    <row r="97" spans="1:12" ht="12.75" customHeight="1" x14ac:dyDescent="0.2">
      <c r="A97" s="24"/>
      <c r="I97" s="721">
        <v>585</v>
      </c>
      <c r="J97" s="705"/>
      <c r="K97" s="722">
        <f ca="1">IF(AND(MIN(K165,K179)&gt;54,TDSelected!D10&gt;2),54,MIN(K165,K179))</f>
        <v>5.6234132519034866E-3</v>
      </c>
      <c r="L97" s="723">
        <f t="shared" si="16"/>
        <v>585</v>
      </c>
    </row>
    <row r="98" spans="1:12" x14ac:dyDescent="0.2">
      <c r="A98" s="24"/>
      <c r="I98" s="721">
        <v>650</v>
      </c>
      <c r="J98" s="705"/>
      <c r="K98" s="722">
        <f ca="1">IF(AND(MIN(K166,K180)&gt;54,TDSelected!D11&gt;2),54,MIN(K166,K180))</f>
        <v>2.8183829312644522E-3</v>
      </c>
      <c r="L98" s="723">
        <f t="shared" si="16"/>
        <v>650</v>
      </c>
    </row>
    <row r="99" spans="1:12" x14ac:dyDescent="0.2">
      <c r="A99" s="24"/>
      <c r="I99" s="721">
        <v>780</v>
      </c>
      <c r="J99" s="705"/>
      <c r="K99" s="722">
        <f ca="1">IF(AND(MIN(K167,K181)&gt;54,TDSelected!D12&gt;2),54,MIN(K167,K181))</f>
        <v>1E-3</v>
      </c>
      <c r="L99" s="723">
        <f t="shared" ref="L99:L100" si="17">IF(ISNUMBER(ROUNDDOWN(I99,0)),ROUNDDOWN(I99,0),"")</f>
        <v>780</v>
      </c>
    </row>
    <row r="100" spans="1:12" x14ac:dyDescent="0.2">
      <c r="A100" s="24"/>
      <c r="I100" s="721">
        <v>866.7</v>
      </c>
      <c r="J100" s="705"/>
      <c r="K100" s="722">
        <f ca="1">IF(AND(MIN(K168,K182)&gt;54,TDSelected!D13&gt;2),54,MIN(K168,K182))</f>
        <v>1.2589254117941672E-4</v>
      </c>
      <c r="L100" s="723">
        <f t="shared" si="17"/>
        <v>866</v>
      </c>
    </row>
    <row r="101" spans="1:12" x14ac:dyDescent="0.2">
      <c r="A101" s="24"/>
      <c r="I101" s="724"/>
      <c r="J101" s="709"/>
      <c r="K101" s="725"/>
      <c r="L101" s="726"/>
    </row>
    <row r="102" spans="1:12" x14ac:dyDescent="0.2">
      <c r="A102" s="24"/>
    </row>
    <row r="103" spans="1:12" x14ac:dyDescent="0.2">
      <c r="A103" s="24"/>
    </row>
    <row r="104" spans="1:12" x14ac:dyDescent="0.2">
      <c r="A104" s="24"/>
    </row>
    <row r="105" spans="1:12" x14ac:dyDescent="0.2">
      <c r="A105" s="24"/>
    </row>
    <row r="106" spans="1:12" x14ac:dyDescent="0.2">
      <c r="A106" s="24"/>
    </row>
    <row r="107" spans="1:12" x14ac:dyDescent="0.2">
      <c r="A107" s="24"/>
    </row>
    <row r="108" spans="1:12" x14ac:dyDescent="0.2">
      <c r="A108" s="24"/>
    </row>
    <row r="109" spans="1:12" x14ac:dyDescent="0.2">
      <c r="A109" s="24"/>
    </row>
    <row r="110" spans="1:12" x14ac:dyDescent="0.2">
      <c r="A110" s="24"/>
    </row>
    <row r="111" spans="1:12" x14ac:dyDescent="0.2">
      <c r="A111" s="24"/>
    </row>
    <row r="112" spans="1:12" x14ac:dyDescent="0.2">
      <c r="A112" s="24"/>
    </row>
    <row r="113" spans="1:11" x14ac:dyDescent="0.2">
      <c r="A113" s="24"/>
    </row>
    <row r="114" spans="1:11" x14ac:dyDescent="0.2">
      <c r="A114" s="24"/>
    </row>
    <row r="115" spans="1:11" x14ac:dyDescent="0.2">
      <c r="A115" s="24"/>
    </row>
    <row r="116" spans="1:11" x14ac:dyDescent="0.2">
      <c r="A116" s="24"/>
    </row>
    <row r="117" spans="1:11" x14ac:dyDescent="0.2">
      <c r="A117" s="24"/>
    </row>
    <row r="118" spans="1:11" x14ac:dyDescent="0.2">
      <c r="A118" s="24"/>
      <c r="B118" s="24"/>
      <c r="C118" s="90"/>
      <c r="D118" s="338"/>
      <c r="E118" s="221"/>
      <c r="F118" s="24"/>
      <c r="G118" s="24"/>
      <c r="H118" s="24"/>
      <c r="I118" s="24"/>
      <c r="J118" s="24"/>
      <c r="K118" s="24"/>
    </row>
    <row r="119" spans="1:11" x14ac:dyDescent="0.2">
      <c r="A119" s="24"/>
      <c r="B119" s="24"/>
      <c r="C119" s="90"/>
      <c r="D119" s="338"/>
      <c r="E119" s="221"/>
      <c r="F119" s="24"/>
      <c r="G119" s="24"/>
      <c r="H119" s="24"/>
      <c r="I119" s="24"/>
      <c r="J119" s="24"/>
      <c r="K119" s="24"/>
    </row>
    <row r="120" spans="1:11" x14ac:dyDescent="0.2">
      <c r="A120" s="24"/>
      <c r="B120" s="24"/>
      <c r="C120" s="90"/>
      <c r="D120" s="338"/>
      <c r="E120" s="221"/>
      <c r="F120" s="24"/>
      <c r="G120" s="24"/>
      <c r="H120" s="24"/>
      <c r="I120" s="24"/>
      <c r="J120" s="24"/>
      <c r="K120" s="24"/>
    </row>
    <row r="121" spans="1:11" x14ac:dyDescent="0.2">
      <c r="A121" s="24"/>
      <c r="B121" s="24"/>
      <c r="C121" s="90"/>
      <c r="D121" s="338"/>
      <c r="E121" s="221"/>
      <c r="F121" s="24"/>
      <c r="G121" s="24"/>
      <c r="H121" s="24"/>
      <c r="I121" s="24"/>
      <c r="J121" s="24"/>
      <c r="K121" s="24"/>
    </row>
    <row r="122" spans="1:11" x14ac:dyDescent="0.2">
      <c r="A122" s="24"/>
      <c r="B122" s="24"/>
      <c r="C122" s="90"/>
      <c r="D122" s="338"/>
      <c r="E122" s="221"/>
      <c r="F122" s="24"/>
      <c r="G122" s="24"/>
      <c r="H122" s="24"/>
      <c r="I122" s="24"/>
      <c r="J122" s="24"/>
      <c r="K122" s="24"/>
    </row>
    <row r="123" spans="1:11" x14ac:dyDescent="0.2">
      <c r="A123" s="24"/>
      <c r="B123" s="24"/>
      <c r="C123" s="90"/>
      <c r="D123" s="338"/>
      <c r="E123" s="221"/>
      <c r="F123" s="24"/>
      <c r="G123" s="24"/>
      <c r="H123" s="24"/>
      <c r="I123" s="24"/>
      <c r="J123" s="24"/>
      <c r="K123" s="24"/>
    </row>
    <row r="124" spans="1:11" x14ac:dyDescent="0.2">
      <c r="A124" s="24"/>
      <c r="B124" s="24"/>
      <c r="C124" s="90"/>
      <c r="D124" s="338"/>
      <c r="E124" s="221"/>
      <c r="F124" s="24"/>
      <c r="G124" s="24"/>
      <c r="H124" s="24"/>
      <c r="I124" s="24"/>
      <c r="J124" s="24"/>
      <c r="K124" s="24"/>
    </row>
    <row r="125" spans="1:11" x14ac:dyDescent="0.2">
      <c r="A125" s="24"/>
      <c r="B125" s="24"/>
      <c r="C125" s="90"/>
      <c r="D125" s="338"/>
      <c r="E125" s="221"/>
      <c r="F125" s="24"/>
      <c r="G125" s="24"/>
      <c r="H125" s="24"/>
      <c r="I125" s="24"/>
      <c r="J125" s="24"/>
      <c r="K125" s="24"/>
    </row>
    <row r="126" spans="1:11" x14ac:dyDescent="0.2">
      <c r="A126" s="24"/>
      <c r="B126" s="24"/>
      <c r="C126" s="90"/>
      <c r="D126" s="338"/>
      <c r="E126" s="221"/>
      <c r="F126" s="24"/>
      <c r="G126" s="24"/>
      <c r="H126" s="24"/>
      <c r="I126" s="24"/>
      <c r="J126" s="24"/>
      <c r="K126" s="24"/>
    </row>
    <row r="127" spans="1:11" x14ac:dyDescent="0.2">
      <c r="A127" s="24"/>
      <c r="B127" s="24"/>
      <c r="C127" s="90"/>
      <c r="D127" s="338"/>
      <c r="E127" s="221"/>
      <c r="F127" s="24"/>
      <c r="G127" s="24"/>
      <c r="H127" s="24"/>
      <c r="I127" s="24"/>
      <c r="J127" s="24"/>
      <c r="K127" s="24"/>
    </row>
    <row r="128" spans="1:11" x14ac:dyDescent="0.2">
      <c r="A128" s="24"/>
      <c r="B128" s="24"/>
      <c r="C128" s="24"/>
      <c r="D128" s="338"/>
      <c r="E128" s="221"/>
      <c r="F128" s="24"/>
      <c r="G128" s="24"/>
      <c r="H128" s="24"/>
      <c r="I128" s="24"/>
      <c r="J128" s="24"/>
      <c r="K128" s="24"/>
    </row>
    <row r="129" spans="1:11" x14ac:dyDescent="0.2">
      <c r="A129" s="24"/>
      <c r="B129" s="24"/>
      <c r="C129" s="24"/>
      <c r="D129" s="24"/>
      <c r="E129" s="24"/>
      <c r="F129" s="24"/>
      <c r="G129" s="24"/>
      <c r="H129" s="24"/>
      <c r="I129" s="24"/>
      <c r="J129" s="24"/>
      <c r="K129" s="24"/>
    </row>
    <row r="158" spans="2:12" ht="10.5" x14ac:dyDescent="0.25">
      <c r="B158" s="696" t="s">
        <v>583</v>
      </c>
      <c r="C158" s="698" t="s">
        <v>2</v>
      </c>
      <c r="D158" s="699" t="s">
        <v>56</v>
      </c>
      <c r="E158" s="699" t="s">
        <v>57</v>
      </c>
      <c r="F158" s="699" t="s">
        <v>58</v>
      </c>
      <c r="G158" s="699" t="s">
        <v>59</v>
      </c>
      <c r="H158" s="699" t="s">
        <v>691</v>
      </c>
      <c r="I158" s="699" t="s">
        <v>692</v>
      </c>
      <c r="J158" s="699" t="s">
        <v>61</v>
      </c>
      <c r="K158" s="699" t="s">
        <v>62</v>
      </c>
      <c r="L158" s="699" t="s">
        <v>64</v>
      </c>
    </row>
    <row r="159" spans="2:12" x14ac:dyDescent="0.2">
      <c r="B159" s="695"/>
      <c r="C159" s="700">
        <f ca="1">TDSelected!J13</f>
        <v>97.5</v>
      </c>
      <c r="D159" s="745">
        <f ca="1">D6</f>
        <v>4.5</v>
      </c>
      <c r="E159" s="701">
        <f t="shared" ref="E159" ca="1" si="18">E6</f>
        <v>8</v>
      </c>
      <c r="F159" s="745">
        <f ca="1">TDSelected!K13+TDSelected!$D$29-TDSelected!$D$26-TDSelected!$G$26-TDSelected!$G$29</f>
        <v>26.5</v>
      </c>
      <c r="G159" s="745">
        <f ca="1">IF(F159&gt;$C$2,$C$2,F159)</f>
        <v>26.5</v>
      </c>
      <c r="H159" s="701">
        <v>8</v>
      </c>
      <c r="I159" s="701">
        <f ca="1">IF(TDSelected!$H$4=2,105,100)</f>
        <v>105</v>
      </c>
      <c r="J159" s="701">
        <f>TDSelected!$E$5</f>
        <v>10</v>
      </c>
      <c r="K159" s="702">
        <f ca="1">POWER(10,((TDSelected!L38+D159-E159-G159+H159+I159+J159)/-20))</f>
        <v>0.56234132519034907</v>
      </c>
      <c r="L159" s="703" t="b">
        <f ca="1">((F159-G159)&gt;(TDSelected!$H72-0.5))</f>
        <v>1</v>
      </c>
    </row>
    <row r="160" spans="2:12" x14ac:dyDescent="0.2">
      <c r="B160" s="695"/>
      <c r="C160" s="704">
        <f ca="1">TDSelected!J14</f>
        <v>195</v>
      </c>
      <c r="D160" s="746">
        <f t="shared" ref="D160:E168" ca="1" si="19">D7</f>
        <v>4.5</v>
      </c>
      <c r="E160" s="705">
        <f t="shared" ref="E160" ca="1" si="20">E7</f>
        <v>8</v>
      </c>
      <c r="F160" s="705">
        <f ca="1">TDSelected!K14+TDSelected!$D$29-TDSelected!$D$26-TDSelected!$G$26-TDSelected!$G$29</f>
        <v>26.5</v>
      </c>
      <c r="G160" s="705">
        <f t="shared" ref="G160:G168" ca="1" si="21">IF(F160&gt;$C$2,$C$2,F160)</f>
        <v>26.5</v>
      </c>
      <c r="H160" s="705">
        <v>11</v>
      </c>
      <c r="I160" s="705">
        <f ca="1">IF(TDSelected!$H$4=2,105,100)</f>
        <v>105</v>
      </c>
      <c r="J160" s="705">
        <f>TDSelected!$E$5</f>
        <v>10</v>
      </c>
      <c r="K160" s="706">
        <f ca="1">POWER(10,((TDSelected!L39+D160-E160-G160+H160+I160+J160)/-20))</f>
        <v>0.28183829312644532</v>
      </c>
      <c r="L160" s="707" t="b">
        <f ca="1">((F160-G160)&gt;(TDSelected!$H73-0.5))</f>
        <v>1</v>
      </c>
    </row>
    <row r="161" spans="2:12" x14ac:dyDescent="0.2">
      <c r="B161" s="695"/>
      <c r="C161" s="704">
        <f ca="1">TDSelected!J15</f>
        <v>292.5</v>
      </c>
      <c r="D161" s="746">
        <f t="shared" ca="1" si="19"/>
        <v>4.5</v>
      </c>
      <c r="E161" s="705">
        <f t="shared" ca="1" si="19"/>
        <v>8</v>
      </c>
      <c r="F161" s="705">
        <f ca="1">TDSelected!K15+TDSelected!$D$29-TDSelected!$D$26-TDSelected!$G$26-TDSelected!$G$29</f>
        <v>25.5</v>
      </c>
      <c r="G161" s="705">
        <f t="shared" ca="1" si="21"/>
        <v>25.5</v>
      </c>
      <c r="H161" s="705">
        <v>15</v>
      </c>
      <c r="I161" s="705">
        <f ca="1">IF(TDSelected!$H$4=2,105,100)</f>
        <v>105</v>
      </c>
      <c r="J161" s="705">
        <f>TDSelected!$E$5</f>
        <v>10</v>
      </c>
      <c r="K161" s="706">
        <f ca="1">POWER(10,((TDSelected!L40+D161-E161-G161+H161+I161+J161)/-20))</f>
        <v>0.12589254117941667</v>
      </c>
      <c r="L161" s="707" t="b">
        <f ca="1">((F161-G161)&gt;(TDSelected!$H74-0.5))</f>
        <v>1</v>
      </c>
    </row>
    <row r="162" spans="2:12" x14ac:dyDescent="0.2">
      <c r="B162" s="695"/>
      <c r="C162" s="704">
        <f ca="1">TDSelected!J16</f>
        <v>390</v>
      </c>
      <c r="D162" s="746">
        <f t="shared" ca="1" si="19"/>
        <v>4.5</v>
      </c>
      <c r="E162" s="705">
        <f t="shared" ca="1" si="19"/>
        <v>8</v>
      </c>
      <c r="F162" s="705">
        <f ca="1">TDSelected!K16+TDSelected!$D$29-TDSelected!$D$26-TDSelected!$G$26-TDSelected!$G$29</f>
        <v>25.5</v>
      </c>
      <c r="G162" s="705">
        <f t="shared" ca="1" si="21"/>
        <v>25.5</v>
      </c>
      <c r="H162" s="705">
        <v>17</v>
      </c>
      <c r="I162" s="705">
        <f ca="1">IF(TDSelected!$H$4=2,105,100)</f>
        <v>105</v>
      </c>
      <c r="J162" s="705">
        <f>TDSelected!$E$5</f>
        <v>10</v>
      </c>
      <c r="K162" s="706">
        <f ca="1">POWER(10,((TDSelected!L41+D162-E162-G162+H162+I162+J162)/-20))</f>
        <v>6.3095734448019317E-2</v>
      </c>
      <c r="L162" s="707" t="b">
        <f ca="1">((F162-G162)&gt;(TDSelected!$H75-0.5))</f>
        <v>1</v>
      </c>
    </row>
    <row r="163" spans="2:12" x14ac:dyDescent="0.2">
      <c r="B163" s="695"/>
      <c r="C163" s="704">
        <f ca="1">TDSelected!J17</f>
        <v>585</v>
      </c>
      <c r="D163" s="746">
        <f t="shared" ca="1" si="19"/>
        <v>4.5</v>
      </c>
      <c r="E163" s="705">
        <f t="shared" ca="1" si="19"/>
        <v>8</v>
      </c>
      <c r="F163" s="705">
        <f ca="1">TDSelected!K17+TDSelected!$D$29-TDSelected!$D$26-TDSelected!$G$26-TDSelected!$G$29</f>
        <v>24.5</v>
      </c>
      <c r="G163" s="705">
        <f t="shared" ca="1" si="21"/>
        <v>24.5</v>
      </c>
      <c r="H163" s="705">
        <v>21</v>
      </c>
      <c r="I163" s="705">
        <f ca="1">IF(TDSelected!$H$4=2,105,100)</f>
        <v>105</v>
      </c>
      <c r="J163" s="705">
        <f>TDSelected!$E$5</f>
        <v>10</v>
      </c>
      <c r="K163" s="706">
        <f ca="1">POWER(10,((TDSelected!L42+D163-E163-G163+H163+I163+J163)/-20))</f>
        <v>2.511886431509578E-2</v>
      </c>
      <c r="L163" s="707" t="b">
        <f ca="1">((F163-G163)&gt;(TDSelected!$H76-0.5))</f>
        <v>1</v>
      </c>
    </row>
    <row r="164" spans="2:12" x14ac:dyDescent="0.2">
      <c r="B164" s="695"/>
      <c r="C164" s="704">
        <f ca="1">TDSelected!J18</f>
        <v>780</v>
      </c>
      <c r="D164" s="746">
        <f t="shared" ca="1" si="19"/>
        <v>4.5</v>
      </c>
      <c r="E164" s="705">
        <f t="shared" ca="1" si="19"/>
        <v>8</v>
      </c>
      <c r="F164" s="705">
        <f ca="1">TDSelected!K18+TDSelected!$D$29-TDSelected!$D$26-TDSelected!$G$26-TDSelected!$G$29</f>
        <v>24.5</v>
      </c>
      <c r="G164" s="705">
        <f t="shared" ca="1" si="21"/>
        <v>24.5</v>
      </c>
      <c r="H164" s="705">
        <v>24</v>
      </c>
      <c r="I164" s="705">
        <f ca="1">IF(TDSelected!$H$4=2,105,100)</f>
        <v>105</v>
      </c>
      <c r="J164" s="705">
        <f>TDSelected!$E$5</f>
        <v>10</v>
      </c>
      <c r="K164" s="706">
        <f ca="1">POWER(10,((TDSelected!L43+D164-E164-G164+H164+I164+J164)/-20))</f>
        <v>0.01</v>
      </c>
      <c r="L164" s="707" t="b">
        <f ca="1">((F164-G164)&gt;(TDSelected!$H77-0.5))</f>
        <v>1</v>
      </c>
    </row>
    <row r="165" spans="2:12" x14ac:dyDescent="0.2">
      <c r="B165" s="695"/>
      <c r="C165" s="704">
        <f ca="1">TDSelected!J19</f>
        <v>877.5</v>
      </c>
      <c r="D165" s="746">
        <f t="shared" ca="1" si="19"/>
        <v>4.5</v>
      </c>
      <c r="E165" s="705">
        <f t="shared" ca="1" si="19"/>
        <v>8</v>
      </c>
      <c r="F165" s="705">
        <f ca="1">TDSelected!K19+TDSelected!$D$29-TDSelected!$D$26-TDSelected!$G$26-TDSelected!$G$29</f>
        <v>23.5</v>
      </c>
      <c r="G165" s="705">
        <f t="shared" ca="1" si="21"/>
        <v>23.5</v>
      </c>
      <c r="H165" s="705">
        <v>26</v>
      </c>
      <c r="I165" s="705">
        <f ca="1">IF(TDSelected!$H$4=2,105,100)</f>
        <v>105</v>
      </c>
      <c r="J165" s="705">
        <f>TDSelected!$E$5</f>
        <v>10</v>
      </c>
      <c r="K165" s="706">
        <f ca="1">POWER(10,((TDSelected!L44+D165-E165-G165+H165+I165+J165)/-20))</f>
        <v>5.6234132519034866E-3</v>
      </c>
      <c r="L165" s="707" t="b">
        <f ca="1">((F165-G165)&gt;(TDSelected!$H78-0.5))</f>
        <v>1</v>
      </c>
    </row>
    <row r="166" spans="2:12" x14ac:dyDescent="0.2">
      <c r="B166" s="695"/>
      <c r="C166" s="704">
        <f ca="1">TDSelected!J20</f>
        <v>975</v>
      </c>
      <c r="D166" s="746">
        <f t="shared" ca="1" si="19"/>
        <v>4.5</v>
      </c>
      <c r="E166" s="705">
        <f t="shared" ca="1" si="19"/>
        <v>8</v>
      </c>
      <c r="F166" s="705">
        <f ca="1">TDSelected!K20+TDSelected!$D$29-TDSelected!$D$26-TDSelected!$G$26-TDSelected!$G$29</f>
        <v>23.5</v>
      </c>
      <c r="G166" s="705">
        <f t="shared" ca="1" si="21"/>
        <v>23.5</v>
      </c>
      <c r="H166" s="705">
        <v>31</v>
      </c>
      <c r="I166" s="705">
        <f ca="1">IF(TDSelected!$H$4=2,105,100)</f>
        <v>105</v>
      </c>
      <c r="J166" s="705">
        <f>TDSelected!$E$5</f>
        <v>10</v>
      </c>
      <c r="K166" s="706">
        <f ca="1">POWER(10,((TDSelected!L45+D166-E166-G166+H166+I166+J166)/-20))</f>
        <v>3.1622776601683764E-3</v>
      </c>
      <c r="L166" s="707" t="b">
        <f ca="1">((F166-G166)&gt;(TDSelected!$H79-0.5))</f>
        <v>1</v>
      </c>
    </row>
    <row r="167" spans="2:12" x14ac:dyDescent="0.2">
      <c r="B167" s="695"/>
      <c r="C167" s="704">
        <f ca="1">TDSelected!J21</f>
        <v>1170</v>
      </c>
      <c r="D167" s="746">
        <f t="shared" ca="1" si="19"/>
        <v>4.5</v>
      </c>
      <c r="E167" s="705">
        <f t="shared" ca="1" si="19"/>
        <v>8</v>
      </c>
      <c r="F167" s="705">
        <f ca="1">TDSelected!K21+TDSelected!$D$29-TDSelected!$D$26-TDSelected!$G$26-TDSelected!$G$29</f>
        <v>22.5</v>
      </c>
      <c r="G167" s="705">
        <f t="shared" ca="1" si="21"/>
        <v>22.5</v>
      </c>
      <c r="H167" s="705">
        <v>35</v>
      </c>
      <c r="I167" s="705">
        <f ca="1">IF(TDSelected!$H$4=2,105,100)</f>
        <v>105</v>
      </c>
      <c r="J167" s="705">
        <f>TDSelected!$E$5</f>
        <v>10</v>
      </c>
      <c r="K167" s="706">
        <f ca="1">POWER(10,((TDSelected!L46+D167-E167-G167+H167+I167+J167)/-20))</f>
        <v>1.1220184543019622E-3</v>
      </c>
      <c r="L167" s="707" t="b">
        <f ca="1">IF(C167="","",((F167-G167)&gt;(TDSelected!$H80-0.5)))</f>
        <v>1</v>
      </c>
    </row>
    <row r="168" spans="2:12" x14ac:dyDescent="0.2">
      <c r="B168" s="695"/>
      <c r="C168" s="704">
        <f ca="1">TDSelected!J22</f>
        <v>1299.9000000000001</v>
      </c>
      <c r="D168" s="746">
        <f t="shared" ca="1" si="19"/>
        <v>4.5</v>
      </c>
      <c r="E168" s="705">
        <f t="shared" ca="1" si="19"/>
        <v>8</v>
      </c>
      <c r="F168" s="705">
        <f ca="1">TDSelected!K22+TDSelected!$D$29-TDSelected!$D$26-TDSelected!$G$26-TDSelected!$G$29</f>
        <v>21.5</v>
      </c>
      <c r="G168" s="705">
        <f t="shared" ca="1" si="21"/>
        <v>21.5</v>
      </c>
      <c r="H168" s="705">
        <v>37</v>
      </c>
      <c r="I168" s="705">
        <f ca="1">IF(TDSelected!$H$4=2,105,100)</f>
        <v>105</v>
      </c>
      <c r="J168" s="705">
        <f>TDSelected!$E$5</f>
        <v>10</v>
      </c>
      <c r="K168" s="706">
        <f ca="1">POWER(10,((TDSelected!L47+D168-E168-G168+H168+I168+J168)/-20))</f>
        <v>5.6234132519034856E-4</v>
      </c>
      <c r="L168" s="707" t="b">
        <f ca="1">IF(C168="","",((F168-G168)&gt;(TDSelected!$H81-0.5)))</f>
        <v>1</v>
      </c>
    </row>
    <row r="169" spans="2:12" x14ac:dyDescent="0.2">
      <c r="B169" s="695"/>
      <c r="C169" s="708" t="str">
        <f ca="1">IF(TDSelected!J23=0,"",TDSelected!J23)</f>
        <v/>
      </c>
      <c r="D169" s="744" t="str">
        <f ca="1">IF(C169="","",D16)</f>
        <v/>
      </c>
      <c r="E169" s="709" t="str">
        <f ca="1">IF(C169="","",E16)</f>
        <v/>
      </c>
      <c r="F169" s="709" t="str">
        <f ca="1">IF(C169="","",TDSelected!K23+TDSelected!$D$29-TDSelected!$D$26-TDSelected!$G$26-TDSelected!$G$29)</f>
        <v/>
      </c>
      <c r="G169" s="709" t="str">
        <f ca="1">IF(C169="","",G16)</f>
        <v/>
      </c>
      <c r="H169" s="709"/>
      <c r="I169" s="709" t="str">
        <f ca="1">IF(C169="","",IF(TDSelected!$H$4=2,105,100))</f>
        <v/>
      </c>
      <c r="J169" s="709" t="str">
        <f ca="1">IF(C169="","",TDSelected!$E$5)</f>
        <v/>
      </c>
      <c r="K169" s="710" t="str">
        <f ca="1">IF(C169="","",POWER(10,((TDSelected!L48+D169-E169-G169+H169+I169+J169)/-20)))</f>
        <v/>
      </c>
      <c r="L169" s="711" t="str">
        <f ca="1">IF(C169="","",((F169-G169)&gt;(TDSelected!$H82-0.5)))</f>
        <v/>
      </c>
    </row>
    <row r="170" spans="2:12" x14ac:dyDescent="0.2">
      <c r="B170" s="695"/>
      <c r="C170" s="701"/>
      <c r="D170" s="701"/>
      <c r="E170" s="701"/>
      <c r="F170" s="701"/>
      <c r="G170" s="705"/>
      <c r="H170" s="705"/>
      <c r="I170" s="705"/>
      <c r="J170" s="701"/>
      <c r="K170" s="705"/>
      <c r="L170" s="705"/>
    </row>
    <row r="171" spans="2:12" x14ac:dyDescent="0.2">
      <c r="B171" s="695"/>
      <c r="C171" s="705"/>
      <c r="D171" s="705"/>
      <c r="E171" s="705"/>
      <c r="F171" s="705"/>
      <c r="G171" s="705"/>
      <c r="H171" s="705"/>
      <c r="I171" s="705"/>
      <c r="J171" s="705"/>
      <c r="K171" s="705"/>
      <c r="L171" s="705"/>
    </row>
    <row r="172" spans="2:12" ht="10.5" x14ac:dyDescent="0.25">
      <c r="B172" s="696" t="s">
        <v>582</v>
      </c>
      <c r="C172" s="698" t="s">
        <v>2</v>
      </c>
      <c r="D172" s="699" t="s">
        <v>56</v>
      </c>
      <c r="E172" s="699" t="s">
        <v>57</v>
      </c>
      <c r="F172" s="699" t="s">
        <v>58</v>
      </c>
      <c r="G172" s="699" t="s">
        <v>59</v>
      </c>
      <c r="H172" s="699" t="s">
        <v>691</v>
      </c>
      <c r="I172" s="699" t="s">
        <v>692</v>
      </c>
      <c r="J172" s="699" t="s">
        <v>61</v>
      </c>
      <c r="K172" s="699" t="s">
        <v>74</v>
      </c>
      <c r="L172" s="699" t="s">
        <v>64</v>
      </c>
    </row>
    <row r="173" spans="2:12" x14ac:dyDescent="0.2">
      <c r="B173" s="695"/>
      <c r="C173" s="700">
        <f ca="1">C159</f>
        <v>97.5</v>
      </c>
      <c r="D173" s="701">
        <f ca="1">D20</f>
        <v>4.5</v>
      </c>
      <c r="E173" s="701">
        <f t="shared" ref="E173:G173" ca="1" si="22">E20</f>
        <v>8</v>
      </c>
      <c r="F173" s="745">
        <f ca="1">TDSelected!K13+TDSelected!$D$29-TDSelected!$D$26-TDSelected!$G$26-TDSelected!$G$29</f>
        <v>26.5</v>
      </c>
      <c r="G173" s="701">
        <f t="shared" ca="1" si="22"/>
        <v>24.5</v>
      </c>
      <c r="H173" s="701">
        <v>8</v>
      </c>
      <c r="I173" s="701">
        <f ca="1">IF(TDSelected!$H$4=2,105,100)</f>
        <v>105</v>
      </c>
      <c r="J173" s="701">
        <f>TDSelected!$E$5</f>
        <v>10</v>
      </c>
      <c r="K173" s="702">
        <f ca="1">POWER(10,((TDSelected!L13+D173-E173-G173+H173+I173+J173)/-20))</f>
        <v>0.50118723362727224</v>
      </c>
      <c r="L173" s="703" t="b">
        <f ca="1">((F173-G173)&gt;(TDSelected!$H97-0.5))</f>
        <v>1</v>
      </c>
    </row>
    <row r="174" spans="2:12" x14ac:dyDescent="0.2">
      <c r="B174" s="695"/>
      <c r="C174" s="704">
        <f t="shared" ref="C174:C183" ca="1" si="23">C160</f>
        <v>195</v>
      </c>
      <c r="D174" s="705">
        <f t="shared" ref="D174:G183" ca="1" si="24">D21</f>
        <v>4.5</v>
      </c>
      <c r="E174" s="705">
        <f t="shared" ca="1" si="24"/>
        <v>8</v>
      </c>
      <c r="F174" s="705">
        <f t="shared" ca="1" si="24"/>
        <v>24.5</v>
      </c>
      <c r="G174" s="705">
        <f t="shared" ca="1" si="24"/>
        <v>24.5</v>
      </c>
      <c r="H174" s="705">
        <v>11</v>
      </c>
      <c r="I174" s="705">
        <f ca="1">IF(TDSelected!$H$4=2,105,100)</f>
        <v>105</v>
      </c>
      <c r="J174" s="705">
        <f>TDSelected!$E$5</f>
        <v>10</v>
      </c>
      <c r="K174" s="706">
        <f ca="1">POWER(10,((TDSelected!L14+D174-E174-G174+H174+I174+J174)/-20))</f>
        <v>0.28183829312644532</v>
      </c>
      <c r="L174" s="707" t="b">
        <f ca="1">((F174-G174)&gt;(TDSelected!$H98-0.5))</f>
        <v>1</v>
      </c>
    </row>
    <row r="175" spans="2:12" x14ac:dyDescent="0.2">
      <c r="B175" s="695"/>
      <c r="C175" s="704">
        <f t="shared" ca="1" si="23"/>
        <v>292.5</v>
      </c>
      <c r="D175" s="705">
        <f t="shared" ca="1" si="24"/>
        <v>4.5</v>
      </c>
      <c r="E175" s="705">
        <f t="shared" ca="1" si="24"/>
        <v>8</v>
      </c>
      <c r="F175" s="705">
        <f t="shared" ca="1" si="24"/>
        <v>24.5</v>
      </c>
      <c r="G175" s="705">
        <f t="shared" ca="1" si="24"/>
        <v>24.5</v>
      </c>
      <c r="H175" s="705">
        <v>15</v>
      </c>
      <c r="I175" s="705">
        <f ca="1">IF(TDSelected!$H$4=2,105,100)</f>
        <v>105</v>
      </c>
      <c r="J175" s="705">
        <f>TDSelected!$E$5</f>
        <v>10</v>
      </c>
      <c r="K175" s="706">
        <f ca="1">POWER(10,((TDSelected!L15+D175-E175-G175+H175+I175+J175)/-20))</f>
        <v>0.14125375446227542</v>
      </c>
      <c r="L175" s="707" t="b">
        <f ca="1">((F175-G175)&gt;(TDSelected!$H99-0.5))</f>
        <v>1</v>
      </c>
    </row>
    <row r="176" spans="2:12" x14ac:dyDescent="0.2">
      <c r="B176" s="695"/>
      <c r="C176" s="704">
        <f t="shared" ca="1" si="23"/>
        <v>390</v>
      </c>
      <c r="D176" s="705">
        <f t="shared" ca="1" si="24"/>
        <v>4.5</v>
      </c>
      <c r="E176" s="705">
        <f t="shared" ca="1" si="24"/>
        <v>8</v>
      </c>
      <c r="F176" s="705">
        <f t="shared" ca="1" si="24"/>
        <v>23.5</v>
      </c>
      <c r="G176" s="705">
        <f t="shared" ca="1" si="24"/>
        <v>23.5</v>
      </c>
      <c r="H176" s="705">
        <v>17</v>
      </c>
      <c r="I176" s="705">
        <f ca="1">IF(TDSelected!$H$4=2,105,100)</f>
        <v>105</v>
      </c>
      <c r="J176" s="705">
        <f>TDSelected!$E$5</f>
        <v>10</v>
      </c>
      <c r="K176" s="706">
        <f ca="1">POWER(10,((TDSelected!L16+D176-E176-G176+H176+I176+J176)/-20))</f>
        <v>6.3095734448019317E-2</v>
      </c>
      <c r="L176" s="707" t="b">
        <f ca="1">((F176-G176)&gt;(TDSelected!$H100-0.5))</f>
        <v>1</v>
      </c>
    </row>
    <row r="177" spans="2:12" x14ac:dyDescent="0.2">
      <c r="B177" s="695"/>
      <c r="C177" s="704">
        <f t="shared" ca="1" si="23"/>
        <v>585</v>
      </c>
      <c r="D177" s="705">
        <f t="shared" ca="1" si="24"/>
        <v>4.5</v>
      </c>
      <c r="E177" s="705">
        <f t="shared" ca="1" si="24"/>
        <v>8</v>
      </c>
      <c r="F177" s="705">
        <f t="shared" ca="1" si="24"/>
        <v>22.5</v>
      </c>
      <c r="G177" s="705">
        <f t="shared" ca="1" si="24"/>
        <v>22.5</v>
      </c>
      <c r="H177" s="705">
        <v>21</v>
      </c>
      <c r="I177" s="705">
        <f ca="1">IF(TDSelected!$H$4=2,105,100)</f>
        <v>105</v>
      </c>
      <c r="J177" s="705">
        <f>TDSelected!$E$5</f>
        <v>10</v>
      </c>
      <c r="K177" s="706">
        <f ca="1">POWER(10,((TDSelected!L17+D177-E177-G177+H177+I177+J177)/-20))</f>
        <v>2.8183829312644532E-2</v>
      </c>
      <c r="L177" s="707" t="b">
        <f ca="1">((F177-G177)&gt;(TDSelected!$H101-0.5))</f>
        <v>1</v>
      </c>
    </row>
    <row r="178" spans="2:12" x14ac:dyDescent="0.2">
      <c r="B178" s="695"/>
      <c r="C178" s="704">
        <f t="shared" ca="1" si="23"/>
        <v>780</v>
      </c>
      <c r="D178" s="705">
        <f t="shared" ca="1" si="24"/>
        <v>4.5</v>
      </c>
      <c r="E178" s="705">
        <f t="shared" ca="1" si="24"/>
        <v>8</v>
      </c>
      <c r="F178" s="705">
        <f t="shared" ca="1" si="24"/>
        <v>21.5</v>
      </c>
      <c r="G178" s="705">
        <f t="shared" ca="1" si="24"/>
        <v>21.5</v>
      </c>
      <c r="H178" s="705">
        <v>24</v>
      </c>
      <c r="I178" s="705">
        <f ca="1">IF(TDSelected!$H$4=2,105,100)</f>
        <v>105</v>
      </c>
      <c r="J178" s="705">
        <f>TDSelected!$E$5</f>
        <v>10</v>
      </c>
      <c r="K178" s="706">
        <f ca="1">POWER(10,((TDSelected!L18+D178-E178-G178+H178+I178+J178)/-20))</f>
        <v>1.1220184543019634E-2</v>
      </c>
      <c r="L178" s="707" t="b">
        <f ca="1">((F178-G178)&gt;(TDSelected!$H102-0.5))</f>
        <v>1</v>
      </c>
    </row>
    <row r="179" spans="2:12" x14ac:dyDescent="0.2">
      <c r="B179" s="695"/>
      <c r="C179" s="704">
        <f t="shared" ca="1" si="23"/>
        <v>877.5</v>
      </c>
      <c r="D179" s="705">
        <f t="shared" ca="1" si="24"/>
        <v>4.5</v>
      </c>
      <c r="E179" s="705">
        <f t="shared" ca="1" si="24"/>
        <v>8</v>
      </c>
      <c r="F179" s="705">
        <f t="shared" ca="1" si="24"/>
        <v>20.5</v>
      </c>
      <c r="G179" s="705">
        <f t="shared" ca="1" si="24"/>
        <v>20.5</v>
      </c>
      <c r="H179" s="705">
        <v>26</v>
      </c>
      <c r="I179" s="705">
        <f ca="1">IF(TDSelected!$H$4=2,105,100)</f>
        <v>105</v>
      </c>
      <c r="J179" s="705">
        <f>TDSelected!$E$5</f>
        <v>10</v>
      </c>
      <c r="K179" s="706">
        <f ca="1">POWER(10,((TDSelected!L19+D179-E179-G179+H179+I179+J179)/-20))</f>
        <v>6.3095734448019251E-3</v>
      </c>
      <c r="L179" s="707" t="b">
        <f ca="1">((F179-G179)&gt;(TDSelected!$H103-0.5))</f>
        <v>1</v>
      </c>
    </row>
    <row r="180" spans="2:12" x14ac:dyDescent="0.2">
      <c r="B180" s="695"/>
      <c r="C180" s="704">
        <f t="shared" ca="1" si="23"/>
        <v>975</v>
      </c>
      <c r="D180" s="705">
        <f t="shared" ca="1" si="24"/>
        <v>4.5</v>
      </c>
      <c r="E180" s="705">
        <f t="shared" ca="1" si="24"/>
        <v>8</v>
      </c>
      <c r="F180" s="705">
        <f t="shared" ca="1" si="24"/>
        <v>19.5</v>
      </c>
      <c r="G180" s="705">
        <f t="shared" ca="1" si="24"/>
        <v>19.5</v>
      </c>
      <c r="H180" s="705">
        <v>31</v>
      </c>
      <c r="I180" s="705">
        <f ca="1">IF(TDSelected!$H$4=2,105,100)</f>
        <v>105</v>
      </c>
      <c r="J180" s="705">
        <f>TDSelected!$E$5</f>
        <v>10</v>
      </c>
      <c r="K180" s="706">
        <f ca="1">POWER(10,((TDSelected!L20+D180-E180-G180+H180+I180+J180)/-20))</f>
        <v>2.8183829312644522E-3</v>
      </c>
      <c r="L180" s="707" t="b">
        <f ca="1">((F180-G180)&gt;(TDSelected!$H104-0.5))</f>
        <v>1</v>
      </c>
    </row>
    <row r="181" spans="2:12" x14ac:dyDescent="0.2">
      <c r="B181" s="695"/>
      <c r="C181" s="704">
        <f t="shared" ca="1" si="23"/>
        <v>1170</v>
      </c>
      <c r="D181" s="705">
        <f t="shared" ca="1" si="24"/>
        <v>4.5</v>
      </c>
      <c r="E181" s="705">
        <f t="shared" ca="1" si="24"/>
        <v>8</v>
      </c>
      <c r="F181" s="705">
        <f t="shared" ca="1" si="24"/>
        <v>18.5</v>
      </c>
      <c r="G181" s="705">
        <f t="shared" ca="1" si="24"/>
        <v>18.5</v>
      </c>
      <c r="H181" s="705">
        <v>35</v>
      </c>
      <c r="I181" s="705">
        <f ca="1">IF(TDSelected!$H$4=2,105,100)</f>
        <v>105</v>
      </c>
      <c r="J181" s="705">
        <f>TDSelected!$E$5</f>
        <v>10</v>
      </c>
      <c r="K181" s="706">
        <f ca="1">POWER(10,((TDSelected!L21+D181-E181-G181+H181+I181+J181)/-20))</f>
        <v>1E-3</v>
      </c>
      <c r="L181" s="707" t="b">
        <f ca="1">IF(C181="","",((F181-G181)&gt;(TDSelected!$H105-0.5)))</f>
        <v>1</v>
      </c>
    </row>
    <row r="182" spans="2:12" x14ac:dyDescent="0.2">
      <c r="B182" s="695"/>
      <c r="C182" s="704">
        <f t="shared" ca="1" si="23"/>
        <v>1299.9000000000001</v>
      </c>
      <c r="D182" s="705">
        <f t="shared" ca="1" si="24"/>
        <v>4.5</v>
      </c>
      <c r="E182" s="705">
        <f t="shared" ca="1" si="24"/>
        <v>8</v>
      </c>
      <c r="F182" s="705">
        <f t="shared" ca="1" si="24"/>
        <v>3.5</v>
      </c>
      <c r="G182" s="705">
        <f t="shared" ca="1" si="24"/>
        <v>3.5</v>
      </c>
      <c r="H182" s="705">
        <v>37</v>
      </c>
      <c r="I182" s="705">
        <f ca="1">IF(TDSelected!$H$4=2,105,100)</f>
        <v>105</v>
      </c>
      <c r="J182" s="705">
        <f>TDSelected!$E$5</f>
        <v>10</v>
      </c>
      <c r="K182" s="706">
        <f ca="1">POWER(10,((TDSelected!L22+D182-E182-G182+H182+I182+J182)/-20))</f>
        <v>1.2589254117941672E-4</v>
      </c>
      <c r="L182" s="707" t="b">
        <f ca="1">IF(C182="","",((F182-G182)&gt;(TDSelected!$H106-0.5)))</f>
        <v>1</v>
      </c>
    </row>
    <row r="183" spans="2:12" x14ac:dyDescent="0.2">
      <c r="B183" s="695"/>
      <c r="C183" s="708" t="str">
        <f t="shared" ca="1" si="23"/>
        <v/>
      </c>
      <c r="D183" s="709">
        <f t="shared" ca="1" si="24"/>
        <v>4.5</v>
      </c>
      <c r="E183" s="709">
        <f t="shared" ca="1" si="24"/>
        <v>8</v>
      </c>
      <c r="F183" s="709">
        <f t="shared" ca="1" si="24"/>
        <v>3.5</v>
      </c>
      <c r="G183" s="709">
        <f t="shared" ca="1" si="24"/>
        <v>3.5</v>
      </c>
      <c r="H183" s="709"/>
      <c r="I183" s="709">
        <f ca="1">IF(TDSelected!$H$4=2,105,100)</f>
        <v>105</v>
      </c>
      <c r="J183" s="709">
        <f>TDSelected!$E$5</f>
        <v>10</v>
      </c>
      <c r="K183" s="710">
        <f ca="1">POWER(10,((TDSelected!L23+D183-E183-G183+H183+I183+J183)/-20))</f>
        <v>3.9810717055349657E-6</v>
      </c>
      <c r="L183" s="711" t="str">
        <f ca="1">IF(C183="","",((F183-G183)&gt;(TDSelected!$H107-0.5)))</f>
        <v/>
      </c>
    </row>
  </sheetData>
  <mergeCells count="5">
    <mergeCell ref="E2:G2"/>
    <mergeCell ref="J63:K63"/>
    <mergeCell ref="J64:K64"/>
    <mergeCell ref="J65:K65"/>
    <mergeCell ref="J68:K68"/>
  </mergeCells>
  <phoneticPr fontId="2" type="noConversion"/>
  <pageMargins left="0.78740157499999996" right="0.78740157499999996" top="0.984251969" bottom="0.984251969" header="0.4921259845" footer="0.4921259845"/>
  <pageSetup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7"/>
  <dimension ref="A1:Q1835"/>
  <sheetViews>
    <sheetView workbookViewId="0">
      <selection activeCell="D2" sqref="D2"/>
    </sheetView>
  </sheetViews>
  <sheetFormatPr baseColWidth="10" defaultColWidth="11.453125" defaultRowHeight="10" x14ac:dyDescent="0.2"/>
  <cols>
    <col min="1" max="1" width="2.54296875" style="1" customWidth="1"/>
    <col min="2" max="2" width="8.1796875" style="1" bestFit="1" customWidth="1"/>
    <col min="3" max="3" width="13.54296875" style="84" bestFit="1" customWidth="1"/>
    <col min="4" max="4" width="14" style="1" bestFit="1" customWidth="1"/>
    <col min="5" max="5" width="14.26953125" style="522" bestFit="1" customWidth="1"/>
    <col min="6" max="6" width="19.1796875" style="1" customWidth="1"/>
    <col min="7" max="8" width="3.7265625" style="1" customWidth="1"/>
    <col min="9" max="16" width="11.7265625" style="1" customWidth="1"/>
    <col min="17" max="16384" width="11.453125" style="1"/>
  </cols>
  <sheetData>
    <row r="1" spans="2:17" x14ac:dyDescent="0.2">
      <c r="F1" s="694" t="s">
        <v>689</v>
      </c>
    </row>
    <row r="2" spans="2:17" ht="10.5" x14ac:dyDescent="0.25">
      <c r="B2" s="44" t="s">
        <v>2</v>
      </c>
      <c r="C2" s="88" t="s">
        <v>591</v>
      </c>
      <c r="D2" s="44" t="s">
        <v>590</v>
      </c>
      <c r="E2" s="521" t="s">
        <v>584</v>
      </c>
      <c r="F2" s="521" t="s">
        <v>672</v>
      </c>
      <c r="I2" s="44" t="s">
        <v>76</v>
      </c>
      <c r="J2" s="58" t="s">
        <v>2</v>
      </c>
      <c r="K2" s="93" t="s">
        <v>73</v>
      </c>
      <c r="M2" s="44" t="s">
        <v>89</v>
      </c>
      <c r="N2" s="44" t="s">
        <v>96</v>
      </c>
      <c r="P2" s="44" t="s">
        <v>120</v>
      </c>
    </row>
    <row r="3" spans="2:17" x14ac:dyDescent="0.2">
      <c r="B3" s="5">
        <v>0</v>
      </c>
      <c r="C3" s="81" t="e">
        <f ca="1">VLOOKUP(B3,Calc!$K$66:$L$76,2,FALSE)</f>
        <v>#N/A</v>
      </c>
      <c r="D3" s="81" t="e">
        <f ca="1">VLOOKUP(B3,Calc!$K$77:$L$87,2,FALSE)</f>
        <v>#N/A</v>
      </c>
      <c r="E3" s="523" t="e">
        <f ca="1">VLOOKUP(B3,Calc!$K$88:$L$98,2,FALSE)</f>
        <v>#N/A</v>
      </c>
      <c r="F3" s="523"/>
      <c r="I3" s="1" t="s">
        <v>116</v>
      </c>
      <c r="J3" s="61">
        <f ca="1">Calc!C66</f>
        <v>21.6</v>
      </c>
      <c r="K3" s="81">
        <f ca="1">IF(ISNUMBER(INDEX(Calc!$J$66:$J$76,MATCH(J3,Calc!$H$66:$H$76,0),1)),INDEX(Calc!$J$66:$J$76,MATCH(J3,Calc!$H$66:$H$76,0),1),INDEX(Calc!$J$77:$J$87,MATCH(J3,Calc!$H$77:$H$87,0),1))</f>
        <v>0.87023653149570634</v>
      </c>
      <c r="M3" s="61">
        <f ca="1">IF(Errorhandling!C40,Calc!C77,"")</f>
        <v>45</v>
      </c>
      <c r="N3" s="63" t="str">
        <f ca="1">M13</f>
        <v/>
      </c>
      <c r="P3" s="525" t="str">
        <f>"20 MHz (m/Mbps)"</f>
        <v>20 MHz (m/Mbps)</v>
      </c>
      <c r="Q3" s="525" t="str">
        <f>"160 MHz (m/Mbps)"</f>
        <v>160 MHz (m/Mbps)</v>
      </c>
    </row>
    <row r="4" spans="2:17" x14ac:dyDescent="0.2">
      <c r="B4" s="6">
        <v>1</v>
      </c>
      <c r="C4" s="81" t="e">
        <f ca="1">VLOOKUP(B4,Calc!$K$66:$L$76,2,FALSE)</f>
        <v>#N/A</v>
      </c>
      <c r="D4" s="81" t="e">
        <f ca="1">VLOOKUP(B4,Calc!$K$77:$L$87,2,FALSE)</f>
        <v>#N/A</v>
      </c>
      <c r="E4" s="523" t="e">
        <f ca="1">VLOOKUP(B4,Calc!$K$88:$L$98,2,FALSE)</f>
        <v>#N/A</v>
      </c>
      <c r="F4" s="523" t="e">
        <f ca="1">IF(Errorhandling!$C$42,INDEX(Calc!$J$99:$J$109,MATCH(Display!B4,Calc!$K$99:$K$109,0),1),#N/A)</f>
        <v>#N/A</v>
      </c>
      <c r="I4" s="78" t="s">
        <v>118</v>
      </c>
      <c r="J4" s="64">
        <f ca="1">Calc!C67</f>
        <v>43.2</v>
      </c>
      <c r="K4" s="81">
        <f ca="1">IF(ISNUMBER(INDEX(Calc!$J$66:$J$76,MATCH(J4,Calc!$H$66:$H$76,0),1)),INDEX(Calc!$J$66:$J$76,MATCH(J4,Calc!$H$66:$H$76,0),1),INDEX(Calc!$J$77:$J$87,MATCH(J4,Calc!$H$77:$H$87,0),1))</f>
        <v>0.61608028388945923</v>
      </c>
      <c r="M4" s="64">
        <f ca="1">IF(Errorhandling!C40,Calc!C78,"")</f>
        <v>90</v>
      </c>
      <c r="N4" s="66" t="str">
        <f ca="1">M12</f>
        <v/>
      </c>
      <c r="P4" s="526" t="s">
        <v>698</v>
      </c>
    </row>
    <row r="5" spans="2:17" x14ac:dyDescent="0.2">
      <c r="B5" s="6">
        <f>1+B4</f>
        <v>2</v>
      </c>
      <c r="C5" s="81" t="e">
        <f ca="1">VLOOKUP(B5,Calc!$K$66:$L$76,2,FALSE)</f>
        <v>#N/A</v>
      </c>
      <c r="D5" s="81" t="e">
        <f ca="1">VLOOKUP(B5,Calc!$K$77:$L$87,2,FALSE)</f>
        <v>#N/A</v>
      </c>
      <c r="E5" s="523" t="e">
        <f ca="1">VLOOKUP(B5,Calc!$K$88:$L$98,2,FALSE)</f>
        <v>#N/A</v>
      </c>
      <c r="F5" s="523" t="e">
        <f ca="1">IF(Errorhandling!$C$42,INDEX(Calc!$J$99:$J$109,MATCH(Display!B5,Calc!$K$99:$K$109,0),1),#N/A)</f>
        <v>#N/A</v>
      </c>
      <c r="I5" s="78" t="s">
        <v>119</v>
      </c>
      <c r="J5" s="64">
        <f ca="1">Calc!C68</f>
        <v>65.099999999999994</v>
      </c>
      <c r="K5" s="81">
        <f ca="1">IF(ISNUMBER(INDEX(Calc!$J$66:$J$76,MATCH(J5,Calc!$H$66:$H$76,0),1)),INDEX(Calc!$J$66:$J$76,MATCH(J5,Calc!$H$66:$H$76,0),1),INDEX(Calc!$J$77:$J$87,MATCH(J5,Calc!$H$77:$H$87,0),1))</f>
        <v>0.48936996435034835</v>
      </c>
      <c r="M5" s="64">
        <f ca="1">IF(Errorhandling!C40,Calc!C79,"")</f>
        <v>135</v>
      </c>
      <c r="N5" s="66" t="str">
        <f ca="1">M11</f>
        <v/>
      </c>
      <c r="P5" s="526" t="s">
        <v>699</v>
      </c>
    </row>
    <row r="6" spans="2:17" ht="10.5" x14ac:dyDescent="0.25">
      <c r="B6" s="6">
        <f t="shared" ref="B6:B69" si="0">1+B5</f>
        <v>3</v>
      </c>
      <c r="C6" s="81" t="e">
        <f ca="1">VLOOKUP(B6,Calc!$K$66:$L$76,2,FALSE)</f>
        <v>#N/A</v>
      </c>
      <c r="D6" s="81" t="e">
        <f ca="1">VLOOKUP(B6,Calc!$K$77:$L$87,2,FALSE)</f>
        <v>#N/A</v>
      </c>
      <c r="E6" s="523" t="e">
        <f ca="1">VLOOKUP(B6,Calc!$K$88:$L$98,2,FALSE)</f>
        <v>#N/A</v>
      </c>
      <c r="F6" s="523" t="e">
        <f ca="1">IF(Errorhandling!$C$42,INDEX(Calc!$J$99:$J$109,MATCH(Display!B6,Calc!$K$99:$K$109,0),1),#N/A)</f>
        <v>#N/A</v>
      </c>
      <c r="I6" s="78" t="s">
        <v>117</v>
      </c>
      <c r="J6" s="64">
        <f ca="1">Calc!C69</f>
        <v>86.699999999999989</v>
      </c>
      <c r="K6" s="81">
        <f ca="1">IF(ISNUMBER(INDEX(Calc!$J$66:$J$76,MATCH(J6,Calc!$H$66:$H$76,0),1)),INDEX(Calc!$J$66:$J$76,MATCH(J6,Calc!$H$66:$H$76,0),1),INDEX(Calc!$J$77:$J$87,MATCH(J6,Calc!$H$77:$H$87,0),1))</f>
        <v>0.275192954261129</v>
      </c>
      <c r="M6" s="64">
        <f ca="1">IF(Errorhandling!C40,Calc!C80,"")</f>
        <v>180</v>
      </c>
      <c r="N6" s="66">
        <f ca="1">M10</f>
        <v>450</v>
      </c>
      <c r="P6" s="44" t="s">
        <v>70</v>
      </c>
    </row>
    <row r="7" spans="2:17" x14ac:dyDescent="0.2">
      <c r="B7" s="6">
        <f t="shared" si="0"/>
        <v>4</v>
      </c>
      <c r="C7" s="81" t="e">
        <f ca="1">VLOOKUP(B7,Calc!$K$66:$L$76,2,FALSE)</f>
        <v>#N/A</v>
      </c>
      <c r="D7" s="81" t="e">
        <f ca="1">VLOOKUP(B7,Calc!$K$77:$L$87,2,FALSE)</f>
        <v>#N/A</v>
      </c>
      <c r="E7" s="523" t="e">
        <f ca="1">VLOOKUP(B7,Calc!$K$88:$L$98,2,FALSE)</f>
        <v>#N/A</v>
      </c>
      <c r="F7" s="523" t="e">
        <f ca="1">IF(Errorhandling!$C$42,INDEX(Calc!$J$99:$J$109,MATCH(Display!B7,Calc!$K$99:$K$109,0),1),#N/A)</f>
        <v>#N/A</v>
      </c>
      <c r="J7" s="64">
        <f ca="1">Calc!C70</f>
        <v>129.89999999999998</v>
      </c>
      <c r="K7" s="81">
        <f ca="1">IF(ISNUMBER(INDEX(Calc!$J$66:$J$76,MATCH(J7,Calc!$H$66:$H$76,0),1)),INDEX(Calc!$J$66:$J$76,MATCH(J7,Calc!$H$66:$H$76,0),1),INDEX(Calc!$J$77:$J$87,MATCH(J7,Calc!$H$77:$H$87,0),1))</f>
        <v>0.15475237058225047</v>
      </c>
      <c r="M7" s="64">
        <f ca="1">IF(Errorhandling!C40,Calc!C81,"")</f>
        <v>270</v>
      </c>
      <c r="N7" s="66">
        <f ca="1">M9</f>
        <v>405</v>
      </c>
      <c r="P7" s="525" t="str">
        <f>"20 MHz"</f>
        <v>20 MHz</v>
      </c>
      <c r="Q7" s="525" t="str">
        <f>"160 MHz"</f>
        <v>160 MHz</v>
      </c>
    </row>
    <row r="8" spans="2:17" x14ac:dyDescent="0.2">
      <c r="B8" s="6">
        <v>5</v>
      </c>
      <c r="C8" s="81" t="e">
        <f ca="1">VLOOKUP(B8,Calc!$K$66:$L$76,2,FALSE)</f>
        <v>#N/A</v>
      </c>
      <c r="D8" s="81" t="e">
        <f ca="1">VLOOKUP(B8,Calc!$K$77:$L$87,2,FALSE)</f>
        <v>#N/A</v>
      </c>
      <c r="E8" s="523" t="e">
        <f ca="1">VLOOKUP(B8,Calc!$K$88:$L$98,2,FALSE)</f>
        <v>#N/A</v>
      </c>
      <c r="F8" s="523" t="e">
        <f ca="1">IF(Errorhandling!$C$42,INDEX(Calc!$J$99:$J$109,MATCH(Display!B8,Calc!$K$99:$K$109,0),1),#N/A)</f>
        <v>#N/A</v>
      </c>
      <c r="J8" s="64">
        <f ca="1">Calc!C71</f>
        <v>173.39999999999998</v>
      </c>
      <c r="K8" s="81">
        <f ca="1">IF(ISNUMBER(INDEX(Calc!$J$66:$J$76,MATCH(J8,Calc!$H$66:$H$76,0),1)),INDEX(Calc!$J$66:$J$76,MATCH(J8,Calc!$H$66:$H$76,0),1),INDEX(Calc!$J$77:$J$87,MATCH(J8,Calc!$H$77:$H$87,0),1))</f>
        <v>0.12292417734399674</v>
      </c>
      <c r="M8" s="64">
        <f ca="1">IF(Errorhandling!C40,Calc!C82,"")</f>
        <v>360</v>
      </c>
      <c r="N8" s="66">
        <f ca="1">M8</f>
        <v>360</v>
      </c>
      <c r="P8" s="526" t="s">
        <v>443</v>
      </c>
    </row>
    <row r="9" spans="2:17" x14ac:dyDescent="0.2">
      <c r="B9" s="6">
        <v>6</v>
      </c>
      <c r="C9" s="81" t="e">
        <f ca="1">VLOOKUP(B9,Calc!$K$66:$L$76,2,FALSE)</f>
        <v>#N/A</v>
      </c>
      <c r="D9" s="81" t="e">
        <f ca="1">VLOOKUP(B9,Calc!$K$77:$L$87,2,FALSE)</f>
        <v>#N/A</v>
      </c>
      <c r="E9" s="523" t="e">
        <f ca="1">VLOOKUP(B9,Calc!$K$88:$L$98,2,FALSE)</f>
        <v>#N/A</v>
      </c>
      <c r="F9" s="523" t="e">
        <f ca="1">IF(Errorhandling!$C$42,INDEX(Calc!$J$99:$J$109,MATCH(Display!B9,Calc!$K$99:$K$109,0),1),#N/A)</f>
        <v>#N/A</v>
      </c>
      <c r="J9" s="64">
        <f ca="1">Calc!C72</f>
        <v>195</v>
      </c>
      <c r="K9" s="81">
        <f ca="1">IF(ISNUMBER(INDEX(Calc!$J$66:$J$76,MATCH(J9,Calc!$H$66:$H$76,0),1)),INDEX(Calc!$J$66:$J$76,MATCH(J9,Calc!$H$66:$H$76,0),1),INDEX(Calc!$J$77:$J$87,MATCH(J9,Calc!$H$77:$H$87,0),1))</f>
        <v>9.7642144794591462E-2</v>
      </c>
      <c r="M9" s="64">
        <f ca="1">IF(Errorhandling!C40,Calc!C83,"")</f>
        <v>405</v>
      </c>
      <c r="N9" s="66">
        <f ca="1">M7</f>
        <v>270</v>
      </c>
      <c r="P9" s="526" t="s">
        <v>581</v>
      </c>
    </row>
    <row r="10" spans="2:17" x14ac:dyDescent="0.2">
      <c r="B10" s="6">
        <f t="shared" si="0"/>
        <v>7</v>
      </c>
      <c r="C10" s="81" t="e">
        <f ca="1">VLOOKUP(B10,Calc!$K$66:$L$76,2,FALSE)</f>
        <v>#N/A</v>
      </c>
      <c r="D10" s="81" t="e">
        <f ca="1">VLOOKUP(B10,Calc!$K$77:$L$87,2,FALSE)</f>
        <v>#N/A</v>
      </c>
      <c r="E10" s="523" t="e">
        <f ca="1">VLOOKUP(B10,Calc!$K$88:$L$98,2,FALSE)</f>
        <v>#N/A</v>
      </c>
      <c r="F10" s="523" t="e">
        <f ca="1">IF(Errorhandling!$C$42,INDEX(Calc!$J$99:$J$109,MATCH(Display!B10,Calc!$K$99:$K$109,0),1),#N/A)</f>
        <v>#N/A</v>
      </c>
      <c r="H10" s="2"/>
      <c r="I10" s="2"/>
      <c r="J10" s="64">
        <f ca="1">Calc!C73</f>
        <v>216.60000000000002</v>
      </c>
      <c r="K10" s="81">
        <f ca="1">IF(ISNUMBER(INDEX(Calc!$J$66:$J$76,MATCH(J10,Calc!$H$66:$H$76,0),1)),INDEX(Calc!$J$66:$J$76,MATCH(J10,Calc!$H$66:$H$76,0),1),INDEX(Calc!$J$77:$J$87,MATCH(J10,Calc!$H$77:$H$87,0),1))</f>
        <v>6.9125344785556667E-2</v>
      </c>
      <c r="M10" s="64">
        <f ca="1">IF(Errorhandling!C40,Calc!C84,"")</f>
        <v>450</v>
      </c>
      <c r="N10" s="66">
        <f ca="1">M6</f>
        <v>180</v>
      </c>
    </row>
    <row r="11" spans="2:17" x14ac:dyDescent="0.2">
      <c r="B11" s="6">
        <f t="shared" si="0"/>
        <v>8</v>
      </c>
      <c r="C11" s="81" t="e">
        <f ca="1">VLOOKUP(B11,Calc!$K$66:$L$76,2,FALSE)</f>
        <v>#N/A</v>
      </c>
      <c r="D11" s="81" t="e">
        <f ca="1">VLOOKUP(B11,Calc!$K$77:$L$87,2,FALSE)</f>
        <v>#N/A</v>
      </c>
      <c r="E11" s="523" t="e">
        <f ca="1">VLOOKUP(B11,Calc!$K$88:$L$98,2,FALSE)</f>
        <v>#N/A</v>
      </c>
      <c r="F11" s="523" t="e">
        <f ca="1">IF(Errorhandling!$C$42,INDEX(Calc!$J$99:$J$109,MATCH(Display!B11,Calc!$K$99:$K$109,0),1),#N/A)</f>
        <v>#N/A</v>
      </c>
      <c r="H11" s="2"/>
      <c r="I11" s="2"/>
      <c r="J11" s="64">
        <f ca="1">IF(Errorhandling!C39,IF(Calc!C74="",IF(INDEX(Display!$N$3:$N$13,MATCH(MAX(Calc!$C$66:$C$76),Display!$N$3:$N$13,-1),1)&gt;Display!J10,INDEX($N$3:$N$13,MATCH(MAX(Calc!$C$66:$C$76),Display!$N$3:$N$13,-1),1),INDEX(Display!$N$3:$N$13,MATCH(Display!J10+1,Display!$N$3:$N$13,-1),1)),Calc!C74),"")</f>
        <v>270</v>
      </c>
      <c r="K11" s="81">
        <f ca="1">IF(Errorhandling!C39,IF(ISNUMBER(INDEX(Calc!$J$66:$J$76,MATCH(J11,Calc!$H$66:$H$76,0),1)),INDEX(Calc!$J$66:$J$76,MATCH(J11,Calc!$H$66:$H$76,0),1),INDEX(Calc!$J$77:$J$87,MATCH(J11,Calc!$H$77:$H$87,0),1)),"")</f>
        <v>0.19482169186138323</v>
      </c>
      <c r="M11" s="64" t="str">
        <f ca="1">Calc!C85</f>
        <v/>
      </c>
      <c r="N11" s="66">
        <f ca="1">M5</f>
        <v>135</v>
      </c>
    </row>
    <row r="12" spans="2:17" x14ac:dyDescent="0.2">
      <c r="B12" s="6">
        <f t="shared" si="0"/>
        <v>9</v>
      </c>
      <c r="C12" s="81" t="e">
        <f ca="1">VLOOKUP(B12,Calc!$K$66:$L$76,2,FALSE)</f>
        <v>#N/A</v>
      </c>
      <c r="D12" s="81" t="e">
        <f ca="1">VLOOKUP(B12,Calc!$K$77:$L$87,2,FALSE)</f>
        <v>#N/A</v>
      </c>
      <c r="E12" s="523" t="e">
        <f ca="1">VLOOKUP(B12,Calc!$K$88:$L$98,2,FALSE)</f>
        <v>#N/A</v>
      </c>
      <c r="F12" s="523" t="e">
        <f ca="1">IF(Errorhandling!$C$42,INDEX(Calc!$J$99:$J$109,MATCH(Display!B12,Calc!$K$99:$K$109,0),1),#N/A)</f>
        <v>#N/A</v>
      </c>
      <c r="H12" s="2"/>
      <c r="I12" s="2"/>
      <c r="J12" s="64">
        <f ca="1">IF(Errorhandling!C39,IF(Calc!C75="",IF(INDEX(Display!$N$3:$N$13,MATCH(MAX(Calc!$C$66:$C$76),Display!$N$3:$N$13,-1),1)&gt;Display!J11,INDEX($N$3:$N$13,MATCH(MAX(Calc!$C$66:$C$76),Display!$N$3:$N$13,-1),1),INDEX(Display!$N$3:$N$13,MATCH(Display!J11+1,Display!$N$3:$N$13,-1),1)),Calc!C75),"")</f>
        <v>360</v>
      </c>
      <c r="K12" s="81">
        <f ca="1">IF(Errorhandling!C39,IF(ISNUMBER(INDEX(Calc!$J$66:$J$76,MATCH(J12,Calc!$H$66:$H$76,0),1)),INDEX(Calc!$J$66:$J$76,MATCH(J12,Calc!$H$66:$H$76,0),1),INDEX(Calc!$J$77:$J$87,MATCH(J12,Calc!$H$77:$H$87,0),1)),"")</f>
        <v>0.15475237058225047</v>
      </c>
      <c r="M12" s="64" t="str">
        <f ca="1">Calc!C86</f>
        <v/>
      </c>
      <c r="N12" s="66">
        <f ca="1">M4</f>
        <v>90</v>
      </c>
    </row>
    <row r="13" spans="2:17" x14ac:dyDescent="0.2">
      <c r="B13" s="6">
        <f t="shared" si="0"/>
        <v>10</v>
      </c>
      <c r="C13" s="81" t="e">
        <f ca="1">VLOOKUP(B13,Calc!$K$66:$L$76,2,FALSE)</f>
        <v>#N/A</v>
      </c>
      <c r="D13" s="81" t="e">
        <f ca="1">VLOOKUP(B13,Calc!$K$77:$L$87,2,FALSE)</f>
        <v>#N/A</v>
      </c>
      <c r="E13" s="523" t="e">
        <f ca="1">VLOOKUP(B13,Calc!$K$88:$L$98,2,FALSE)</f>
        <v>#N/A</v>
      </c>
      <c r="F13" s="523" t="e">
        <f ca="1">IF(Errorhandling!$C$42,INDEX(Calc!$J$99:$J$109,MATCH(Display!B13,Calc!$K$99:$K$109,0),1),#N/A)</f>
        <v>#N/A</v>
      </c>
      <c r="H13" s="2"/>
      <c r="I13" s="2"/>
      <c r="J13" s="64">
        <f ca="1">IF(Errorhandling!C39,IF(Calc!C76="",IF(INDEX(Display!$N$3:$N$13,MATCH(MAX(Calc!$C$66:$C$76),Display!$N$3:$N$13,-1),1)&gt;Display!J12,INDEX($N$3:$N$13,MATCH(MAX(Calc!$C$66:$C$76),Display!$N$3:$N$13,-1),1),INDEX(Display!$N$3:$N$13,MATCH(Display!J12+1,Display!$N$3:$N$13,-1),1)),Calc!C76),"")</f>
        <v>405</v>
      </c>
      <c r="K13" s="81">
        <f ca="1">IF(Errorhandling!C39,IF(ISNUMBER(INDEX(Calc!$J$66:$J$76,MATCH(J13,Calc!$H$66:$H$76,0),1)),INDEX(Calc!$J$66:$J$76,MATCH(J13,Calc!$H$66:$H$76,0),1),INDEX(Calc!$J$77:$J$87,MATCH(J13,Calc!$H$77:$H$87,0),1)),"")</f>
        <v>0.1379231954598516</v>
      </c>
      <c r="M13" s="67" t="str">
        <f ca="1">Calc!C87</f>
        <v/>
      </c>
      <c r="N13" s="69">
        <f ca="1">M3</f>
        <v>45</v>
      </c>
    </row>
    <row r="14" spans="2:17" x14ac:dyDescent="0.2">
      <c r="B14" s="6">
        <f t="shared" si="0"/>
        <v>11</v>
      </c>
      <c r="C14" s="81" t="e">
        <f ca="1">VLOOKUP(B14,Calc!$K$66:$L$76,2,FALSE)</f>
        <v>#N/A</v>
      </c>
      <c r="D14" s="81" t="e">
        <f ca="1">VLOOKUP(B14,Calc!$K$77:$L$87,2,FALSE)</f>
        <v>#N/A</v>
      </c>
      <c r="E14" s="523" t="e">
        <f ca="1">VLOOKUP(B14,Calc!$K$88:$L$98,2,FALSE)</f>
        <v>#N/A</v>
      </c>
      <c r="F14" s="523" t="e">
        <f ca="1">IF(Errorhandling!$C$42,INDEX(Calc!$J$99:$J$109,MATCH(Display!B14,Calc!$K$99:$K$109,0),1),#N/A)</f>
        <v>#N/A</v>
      </c>
      <c r="H14" s="2"/>
      <c r="I14" s="2"/>
      <c r="J14" s="64">
        <f ca="1">IF(Errorhandling!C40,IF(INDEX(Display!$N$3:$N$13,MATCH(MAX(Calc!$C$66:$C$76),Display!$N$3:$N$13,-1),1)&gt;Display!J13,INDEX($N$3:$N$13,MATCH(MAX(Calc!$C$66:$C$76),Display!$N$3:$N$13,-1),1),INDEX(Display!$N$3:$N$13,MATCH(Display!J13+1,Display!$N$3:$N$13,-1),1)),"")</f>
        <v>450</v>
      </c>
      <c r="K14" s="81">
        <f ca="1">IF(Errorhandling!C40,IF(ISNUMBER(INDEX(Calc!$J$66:$J$76,MATCH(J14,Calc!$H$66:$H$76,0),1)),INDEX(Calc!$J$66:$J$76,MATCH(J14,Calc!$H$66:$H$76,0),1),INDEX(Calc!$J$77:$J$87,MATCH(J14,Calc!$H$77:$H$87,0),1)),"")</f>
        <v>7.7559912509380532E-2</v>
      </c>
    </row>
    <row r="15" spans="2:17" x14ac:dyDescent="0.2">
      <c r="B15" s="6">
        <f t="shared" si="0"/>
        <v>12</v>
      </c>
      <c r="C15" s="81" t="e">
        <f ca="1">VLOOKUP(B15,Calc!$K$66:$L$76,2,FALSE)</f>
        <v>#N/A</v>
      </c>
      <c r="D15" s="81" t="e">
        <f ca="1">VLOOKUP(B15,Calc!$K$77:$L$87,2,FALSE)</f>
        <v>#N/A</v>
      </c>
      <c r="E15" s="523" t="e">
        <f ca="1">VLOOKUP(B15,Calc!$K$88:$L$98,2,FALSE)</f>
        <v>#N/A</v>
      </c>
      <c r="F15" s="523" t="e">
        <f ca="1">IF(Errorhandling!$C$42,INDEX(Calc!$J$99:$J$109,MATCH(Display!B15,Calc!$K$99:$K$109,0),1),#N/A)</f>
        <v>#N/A</v>
      </c>
      <c r="H15" s="2"/>
      <c r="I15" s="2"/>
      <c r="J15" s="64" t="e">
        <f ca="1">IF(Errorhandling!C40,IF(INDEX(Display!$N$3:$N$13,MATCH(MAX(Calc!$C$66:$C$76),Display!$N$3:$N$13,-1),1)&gt;Display!J14,INDEX($N$3:$N$13,MATCH(MAX(Calc!$C$66:$C$76),Display!$N$3:$N$13,-1),1),INDEX(Display!$N$3:$N$13,MATCH(Display!J14+1,Display!$N$3:$N$13,-1),1)),"")</f>
        <v>#N/A</v>
      </c>
      <c r="K15" s="81" t="e">
        <f ca="1">IF(Errorhandling!C40,IF(ISNUMBER(INDEX(Calc!$J$66:$J$76,MATCH(J15,Calc!$H$66:$H$76,0),1)),INDEX(Calc!$J$66:$J$76,MATCH(J15,Calc!$H$66:$H$76,0),1),INDEX(Calc!$J$77:$J$87,MATCH(J15,Calc!$H$77:$H$87,0),1)),"")</f>
        <v>#N/A</v>
      </c>
    </row>
    <row r="16" spans="2:17" x14ac:dyDescent="0.2">
      <c r="B16" s="6">
        <f t="shared" si="0"/>
        <v>13</v>
      </c>
      <c r="C16" s="81" t="e">
        <f ca="1">VLOOKUP(B16,Calc!$K$66:$L$76,2,FALSE)</f>
        <v>#N/A</v>
      </c>
      <c r="D16" s="81" t="e">
        <f ca="1">VLOOKUP(B16,Calc!$K$77:$L$87,2,FALSE)</f>
        <v>#N/A</v>
      </c>
      <c r="E16" s="523" t="e">
        <f ca="1">VLOOKUP(B16,Calc!$K$88:$L$98,2,FALSE)</f>
        <v>#N/A</v>
      </c>
      <c r="F16" s="523" t="e">
        <f ca="1">IF(Errorhandling!$C$42,INDEX(Calc!$J$99:$J$109,MATCH(Display!B16,Calc!$K$99:$K$109,0),1),#N/A)</f>
        <v>#N/A</v>
      </c>
      <c r="J16" s="67" t="e">
        <f ca="1">IF(Errorhandling!C40,IF(INDEX(Display!$N$3:$N$13,MATCH(MAX(Calc!$C$66:$C$76),Display!$N$3:$N$13,-1),1)&gt;Display!J15,INDEX($N$3:$N$13,MATCH(MAX(Calc!$C$66:$C$76),Display!$N$3:$N$13,-1),1),INDEX(Display!$N$3:$N$13,MATCH(Display!J15+1,Display!$N$3:$N$13,-1),1)),"")</f>
        <v>#N/A</v>
      </c>
      <c r="K16" s="89" t="e">
        <f ca="1">IF(Errorhandling!C40,IF(ISNUMBER(INDEX(Calc!$J$66:$J$76,MATCH(J16,Calc!$H$66:$H$76,0),1)),INDEX(Calc!$J$66:$J$76,MATCH(J16,Calc!$H$66:$H$76,0),1),INDEX(Calc!$J$77:$J$87,MATCH(J16,Calc!$H$77:$H$87,0),1)),"")</f>
        <v>#N/A</v>
      </c>
    </row>
    <row r="17" spans="2:13" x14ac:dyDescent="0.2">
      <c r="B17" s="6">
        <f t="shared" si="0"/>
        <v>14</v>
      </c>
      <c r="C17" s="81" t="e">
        <f ca="1">VLOOKUP(B17,Calc!$K$66:$L$76,2,FALSE)</f>
        <v>#N/A</v>
      </c>
      <c r="D17" s="81" t="e">
        <f ca="1">VLOOKUP(B17,Calc!$K$77:$L$87,2,FALSE)</f>
        <v>#N/A</v>
      </c>
      <c r="E17" s="523" t="e">
        <f ca="1">VLOOKUP(B17,Calc!$K$88:$L$98,2,FALSE)</f>
        <v>#N/A</v>
      </c>
      <c r="F17" s="523" t="e">
        <f ca="1">IF(Errorhandling!$C$42,INDEX(Calc!$J$99:$J$109,MATCH(Display!B17,Calc!$K$99:$K$109,0),1),#N/A)</f>
        <v>#N/A</v>
      </c>
      <c r="I17" s="24"/>
      <c r="J17" s="24"/>
      <c r="K17" s="90"/>
    </row>
    <row r="18" spans="2:13" x14ac:dyDescent="0.2">
      <c r="B18" s="6">
        <f t="shared" si="0"/>
        <v>15</v>
      </c>
      <c r="C18" s="81" t="e">
        <f ca="1">VLOOKUP(B18,Calc!$K$66:$L$76,2,FALSE)</f>
        <v>#N/A</v>
      </c>
      <c r="D18" s="81" t="e">
        <f ca="1">VLOOKUP(B18,Calc!$K$77:$L$87,2,FALSE)</f>
        <v>#N/A</v>
      </c>
      <c r="E18" s="523" t="e">
        <f ca="1">VLOOKUP(B18,Calc!$K$88:$L$98,2,FALSE)</f>
        <v>#N/A</v>
      </c>
      <c r="F18" s="523" t="e">
        <f ca="1">IF(Errorhandling!$C$42,INDEX(Calc!$J$99:$J$109,MATCH(Display!B18,Calc!$K$99:$K$109,0),1),#N/A)</f>
        <v>#N/A</v>
      </c>
    </row>
    <row r="19" spans="2:13" x14ac:dyDescent="0.2">
      <c r="B19" s="6">
        <f t="shared" si="0"/>
        <v>16</v>
      </c>
      <c r="C19" s="81" t="e">
        <f ca="1">VLOOKUP(B19,Calc!$K$66:$L$76,2,FALSE)</f>
        <v>#N/A</v>
      </c>
      <c r="D19" s="81" t="e">
        <f ca="1">VLOOKUP(B19,Calc!$K$77:$L$87,2,FALSE)</f>
        <v>#N/A</v>
      </c>
      <c r="E19" s="523" t="e">
        <f ca="1">VLOOKUP(B19,Calc!$K$88:$L$98,2,FALSE)</f>
        <v>#N/A</v>
      </c>
      <c r="F19" s="523" t="e">
        <f ca="1">IF(Errorhandling!$C$42,INDEX(Calc!$J$99:$J$109,MATCH(Display!B19,Calc!$K$99:$K$109,0),1),#N/A)</f>
        <v>#N/A</v>
      </c>
    </row>
    <row r="20" spans="2:13" x14ac:dyDescent="0.2">
      <c r="B20" s="6">
        <f t="shared" si="0"/>
        <v>17</v>
      </c>
      <c r="C20" s="81" t="e">
        <f ca="1">VLOOKUP(B20,Calc!$K$66:$L$76,2,FALSE)</f>
        <v>#N/A</v>
      </c>
      <c r="D20" s="81" t="e">
        <f ca="1">VLOOKUP(B20,Calc!$K$77:$L$87,2,FALSE)</f>
        <v>#N/A</v>
      </c>
      <c r="E20" s="523" t="e">
        <f ca="1">VLOOKUP(B20,Calc!$K$88:$L$98,2,FALSE)</f>
        <v>#N/A</v>
      </c>
      <c r="F20" s="523" t="e">
        <f ca="1">IF(Errorhandling!$C$42,INDEX(Calc!$J$99:$J$109,MATCH(Display!B20,Calc!$K$99:$K$109,0),1),#N/A)</f>
        <v>#N/A</v>
      </c>
    </row>
    <row r="21" spans="2:13" x14ac:dyDescent="0.2">
      <c r="B21" s="6">
        <f t="shared" si="0"/>
        <v>18</v>
      </c>
      <c r="C21" s="81" t="e">
        <f ca="1">VLOOKUP(B21,Calc!$K$66:$L$76,2,FALSE)</f>
        <v>#N/A</v>
      </c>
      <c r="D21" s="81" t="e">
        <f ca="1">VLOOKUP(B21,Calc!$K$77:$L$87,2,FALSE)</f>
        <v>#N/A</v>
      </c>
      <c r="E21" s="523" t="e">
        <f ca="1">VLOOKUP(B21,Calc!$K$88:$L$98,2,FALSE)</f>
        <v>#N/A</v>
      </c>
      <c r="F21" s="523" t="e">
        <f ca="1">IF(Errorhandling!$C$42,INDEX(Calc!$J$99:$J$109,MATCH(Display!B21,Calc!$K$99:$K$109,0),1),#N/A)</f>
        <v>#N/A</v>
      </c>
      <c r="H21" s="881" t="s">
        <v>98</v>
      </c>
      <c r="I21" s="882"/>
      <c r="J21" s="882"/>
      <c r="K21" s="882"/>
      <c r="L21" s="882"/>
      <c r="M21" s="883"/>
    </row>
    <row r="22" spans="2:13" x14ac:dyDescent="0.2">
      <c r="B22" s="6">
        <f t="shared" si="0"/>
        <v>19</v>
      </c>
      <c r="C22" s="81" t="e">
        <f ca="1">VLOOKUP(B22,Calc!$K$66:$L$76,2,FALSE)</f>
        <v>#N/A</v>
      </c>
      <c r="D22" s="81" t="e">
        <f ca="1">VLOOKUP(B22,Calc!$K$77:$L$87,2,FALSE)</f>
        <v>#N/A</v>
      </c>
      <c r="E22" s="523" t="e">
        <f ca="1">VLOOKUP(B22,Calc!$K$88:$L$98,2,FALSE)</f>
        <v>#N/A</v>
      </c>
      <c r="F22" s="523" t="e">
        <f ca="1">IF(Errorhandling!$C$42,INDEX(Calc!$J$99:$J$109,MATCH(Display!B22,Calc!$K$99:$K$109,0),1),#N/A)</f>
        <v>#N/A</v>
      </c>
    </row>
    <row r="23" spans="2:13" x14ac:dyDescent="0.2">
      <c r="B23" s="6">
        <f t="shared" si="0"/>
        <v>20</v>
      </c>
      <c r="C23" s="81" t="e">
        <f ca="1">VLOOKUP(B23,Calc!$K$66:$L$76,2,FALSE)</f>
        <v>#N/A</v>
      </c>
      <c r="D23" s="81" t="e">
        <f ca="1">VLOOKUP(B23,Calc!$K$77:$L$87,2,FALSE)</f>
        <v>#N/A</v>
      </c>
      <c r="E23" s="523" t="e">
        <f ca="1">VLOOKUP(B23,Calc!$K$88:$L$98,2,FALSE)</f>
        <v>#N/A</v>
      </c>
      <c r="F23" s="523" t="e">
        <f ca="1">IF(Errorhandling!$C$42,INDEX(Calc!$J$99:$J$109,MATCH(Display!B23,Calc!$K$99:$K$109,0),1),#N/A)</f>
        <v>#N/A</v>
      </c>
    </row>
    <row r="24" spans="2:13" ht="10.5" x14ac:dyDescent="0.25">
      <c r="B24" s="6">
        <f t="shared" si="0"/>
        <v>21</v>
      </c>
      <c r="C24" s="81">
        <f ca="1">VLOOKUP(B24,Calc!$K$66:$L$76,2,FALSE)</f>
        <v>870.23653149570634</v>
      </c>
      <c r="D24" s="81" t="e">
        <f ca="1">VLOOKUP(B24,Calc!$K$77:$L$87,2,FALSE)</f>
        <v>#N/A</v>
      </c>
      <c r="E24" s="523" t="e">
        <f ca="1">VLOOKUP(B24,Calc!$K$88:$L$98,2,FALSE)</f>
        <v>#N/A</v>
      </c>
      <c r="F24" s="523" t="e">
        <f ca="1">IF(Errorhandling!$C$42,INDEX(Calc!$J$99:$J$109,MATCH(Display!B24,Calc!$K$99:$K$109,0),1),#N/A)</f>
        <v>#N/A</v>
      </c>
      <c r="I24" s="44" t="s">
        <v>76</v>
      </c>
      <c r="J24" s="58" t="s">
        <v>2</v>
      </c>
      <c r="K24" s="58" t="s">
        <v>73</v>
      </c>
      <c r="L24" s="121"/>
    </row>
    <row r="25" spans="2:13" x14ac:dyDescent="0.2">
      <c r="B25" s="6">
        <f t="shared" si="0"/>
        <v>22</v>
      </c>
      <c r="C25" s="81" t="e">
        <f ca="1">VLOOKUP(B25,Calc!$K$66:$L$76,2,FALSE)</f>
        <v>#N/A</v>
      </c>
      <c r="D25" s="81" t="e">
        <f ca="1">VLOOKUP(B25,Calc!$K$77:$L$87,2,FALSE)</f>
        <v>#N/A</v>
      </c>
      <c r="E25" s="523" t="e">
        <f ca="1">VLOOKUP(B25,Calc!$K$88:$L$98,2,FALSE)</f>
        <v>#N/A</v>
      </c>
      <c r="F25" s="523" t="e">
        <f ca="1">IF(Errorhandling!$C$42,INDEX(Calc!$J$99:$J$109,MATCH(Display!B25,Calc!$K$99:$K$109,0),1),#N/A)</f>
        <v>#N/A</v>
      </c>
      <c r="I25" s="1" t="s">
        <v>117</v>
      </c>
      <c r="J25" s="61">
        <f ca="1">Calc!C66</f>
        <v>21.6</v>
      </c>
      <c r="K25" s="80">
        <f ca="1">INDEX(Calc!$J$66:$J$73,MATCH(Display!J25,Calc!$C$66:$C$73,0))</f>
        <v>0.87023653149570634</v>
      </c>
      <c r="L25" s="24"/>
    </row>
    <row r="26" spans="2:13" x14ac:dyDescent="0.2">
      <c r="B26" s="6">
        <f t="shared" si="0"/>
        <v>23</v>
      </c>
      <c r="C26" s="81" t="e">
        <f ca="1">VLOOKUP(B26,Calc!$K$66:$L$76,2,FALSE)</f>
        <v>#N/A</v>
      </c>
      <c r="D26" s="81" t="e">
        <f ca="1">VLOOKUP(B26,Calc!$K$77:$L$87,2,FALSE)</f>
        <v>#N/A</v>
      </c>
      <c r="E26" s="523" t="e">
        <f ca="1">VLOOKUP(B26,Calc!$K$88:$L$98,2,FALSE)</f>
        <v>#N/A</v>
      </c>
      <c r="F26" s="523" t="e">
        <f ca="1">IF(Errorhandling!$C$42,INDEX(Calc!$J$99:$J$109,MATCH(Display!B26,Calc!$K$99:$K$109,0),1),#N/A)</f>
        <v>#N/A</v>
      </c>
      <c r="I26" s="78" t="s">
        <v>118</v>
      </c>
      <c r="J26" s="64">
        <f ca="1">Calc!C67</f>
        <v>43.2</v>
      </c>
      <c r="K26" s="81">
        <f ca="1">INDEX(Calc!$J$66:$J$73,MATCH(Display!J26,Calc!$C$66:$C$73,0))</f>
        <v>0.61608028388945923</v>
      </c>
      <c r="L26" s="24"/>
    </row>
    <row r="27" spans="2:13" x14ac:dyDescent="0.2">
      <c r="B27" s="6">
        <f t="shared" si="0"/>
        <v>24</v>
      </c>
      <c r="C27" s="81" t="e">
        <f ca="1">VLOOKUP(B27,Calc!$K$66:$L$76,2,FALSE)</f>
        <v>#N/A</v>
      </c>
      <c r="D27" s="81" t="e">
        <f ca="1">VLOOKUP(B27,Calc!$K$77:$L$87,2,FALSE)</f>
        <v>#N/A</v>
      </c>
      <c r="E27" s="523" t="e">
        <f ca="1">VLOOKUP(B27,Calc!$K$88:$L$98,2,FALSE)</f>
        <v>#N/A</v>
      </c>
      <c r="F27" s="523" t="e">
        <f ca="1">IF(Errorhandling!$C$42,INDEX(Calc!$J$99:$J$109,MATCH(Display!B27,Calc!$K$99:$K$109,0),1),#N/A)</f>
        <v>#N/A</v>
      </c>
      <c r="I27" s="78" t="s">
        <v>119</v>
      </c>
      <c r="J27" s="64">
        <f ca="1">Calc!C68</f>
        <v>65.099999999999994</v>
      </c>
      <c r="K27" s="81">
        <f ca="1">INDEX(Calc!$J$66:$J$73,MATCH(Display!J27,Calc!$C$66:$C$73,0))</f>
        <v>0.48936996435034835</v>
      </c>
      <c r="L27" s="24"/>
    </row>
    <row r="28" spans="2:13" x14ac:dyDescent="0.2">
      <c r="B28" s="6">
        <f t="shared" si="0"/>
        <v>25</v>
      </c>
      <c r="C28" s="81" t="e">
        <f ca="1">VLOOKUP(B28,Calc!$K$66:$L$76,2,FALSE)</f>
        <v>#N/A</v>
      </c>
      <c r="D28" s="81" t="e">
        <f ca="1">VLOOKUP(B28,Calc!$K$77:$L$87,2,FALSE)</f>
        <v>#N/A</v>
      </c>
      <c r="E28" s="523" t="e">
        <f ca="1">VLOOKUP(B28,Calc!$K$88:$L$98,2,FALSE)</f>
        <v>#N/A</v>
      </c>
      <c r="F28" s="523" t="e">
        <f ca="1">IF(Errorhandling!$C$42,INDEX(Calc!$J$99:$J$109,MATCH(Display!B28,Calc!$K$99:$K$109,0),1),#N/A)</f>
        <v>#N/A</v>
      </c>
      <c r="I28" s="78" t="s">
        <v>116</v>
      </c>
      <c r="J28" s="64">
        <f ca="1">Calc!C69</f>
        <v>86.699999999999989</v>
      </c>
      <c r="K28" s="81">
        <f ca="1">INDEX(Calc!$J$66:$J$73,MATCH(Display!J28,Calc!$C$66:$C$73,0))</f>
        <v>0.275192954261129</v>
      </c>
      <c r="L28" s="24"/>
    </row>
    <row r="29" spans="2:13" x14ac:dyDescent="0.2">
      <c r="B29" s="6">
        <f t="shared" si="0"/>
        <v>26</v>
      </c>
      <c r="C29" s="81" t="e">
        <f ca="1">VLOOKUP(B29,Calc!$K$66:$L$76,2,FALSE)</f>
        <v>#N/A</v>
      </c>
      <c r="D29" s="81" t="e">
        <f ca="1">VLOOKUP(B29,Calc!$K$77:$L$87,2,FALSE)</f>
        <v>#N/A</v>
      </c>
      <c r="E29" s="523" t="e">
        <f ca="1">VLOOKUP(B29,Calc!$K$88:$L$98,2,FALSE)</f>
        <v>#N/A</v>
      </c>
      <c r="F29" s="523" t="e">
        <f ca="1">IF(Errorhandling!$C$42,INDEX(Calc!$J$99:$J$109,MATCH(Display!B29,Calc!$K$99:$K$109,0),1),#N/A)</f>
        <v>#N/A</v>
      </c>
      <c r="J29" s="64">
        <f ca="1">Calc!C70</f>
        <v>129.89999999999998</v>
      </c>
      <c r="K29" s="81">
        <f ca="1">INDEX(Calc!$J$66:$J$73,MATCH(Display!J29,Calc!$C$66:$C$73,0))</f>
        <v>0.15475237058225047</v>
      </c>
      <c r="L29" s="24"/>
    </row>
    <row r="30" spans="2:13" x14ac:dyDescent="0.2">
      <c r="B30" s="6">
        <f t="shared" si="0"/>
        <v>27</v>
      </c>
      <c r="C30" s="81" t="e">
        <f ca="1">VLOOKUP(B30,Calc!$K$66:$L$76,2,FALSE)</f>
        <v>#N/A</v>
      </c>
      <c r="D30" s="81" t="e">
        <f ca="1">VLOOKUP(B30,Calc!$K$77:$L$87,2,FALSE)</f>
        <v>#N/A</v>
      </c>
      <c r="E30" s="523" t="e">
        <f ca="1">VLOOKUP(B30,Calc!$K$88:$L$98,2,FALSE)</f>
        <v>#N/A</v>
      </c>
      <c r="F30" s="523" t="e">
        <f ca="1">IF(Errorhandling!$C$42,INDEX(Calc!$J$99:$J$109,MATCH(Display!B30,Calc!$K$99:$K$109,0),1),#N/A)</f>
        <v>#N/A</v>
      </c>
      <c r="J30" s="64">
        <f ca="1">Calc!C71</f>
        <v>173.39999999999998</v>
      </c>
      <c r="K30" s="81">
        <f ca="1">INDEX(Calc!$J$66:$J$73,MATCH(Display!J30,Calc!$C$66:$C$73,0))</f>
        <v>0.12292417734399674</v>
      </c>
      <c r="L30" s="24"/>
    </row>
    <row r="31" spans="2:13" x14ac:dyDescent="0.2">
      <c r="B31" s="6">
        <f t="shared" si="0"/>
        <v>28</v>
      </c>
      <c r="C31" s="81" t="e">
        <f ca="1">VLOOKUP(B31,Calc!$K$66:$L$76,2,FALSE)</f>
        <v>#N/A</v>
      </c>
      <c r="D31" s="81" t="e">
        <f ca="1">VLOOKUP(B31,Calc!$K$77:$L$87,2,FALSE)</f>
        <v>#N/A</v>
      </c>
      <c r="E31" s="523" t="e">
        <f ca="1">VLOOKUP(B31,Calc!$K$88:$L$98,2,FALSE)</f>
        <v>#N/A</v>
      </c>
      <c r="F31" s="523" t="e">
        <f ca="1">IF(Errorhandling!$C$42,INDEX(Calc!$J$99:$J$109,MATCH(Display!B31,Calc!$K$99:$K$109,0),1),#N/A)</f>
        <v>#N/A</v>
      </c>
      <c r="J31" s="64">
        <f ca="1">Calc!C72</f>
        <v>195</v>
      </c>
      <c r="K31" s="81">
        <f ca="1">INDEX(Calc!$J$66:$J$73,MATCH(Display!J31,Calc!$C$66:$C$73,0))</f>
        <v>9.7642144794591462E-2</v>
      </c>
      <c r="L31" s="24"/>
    </row>
    <row r="32" spans="2:13" x14ac:dyDescent="0.2">
      <c r="B32" s="6">
        <f t="shared" si="0"/>
        <v>29</v>
      </c>
      <c r="C32" s="81" t="e">
        <f ca="1">VLOOKUP(B32,Calc!$K$66:$L$76,2,FALSE)</f>
        <v>#N/A</v>
      </c>
      <c r="D32" s="81" t="e">
        <f ca="1">VLOOKUP(B32,Calc!$K$77:$L$87,2,FALSE)</f>
        <v>#N/A</v>
      </c>
      <c r="E32" s="523" t="e">
        <f ca="1">VLOOKUP(B32,Calc!$K$88:$L$98,2,FALSE)</f>
        <v>#N/A</v>
      </c>
      <c r="F32" s="523" t="e">
        <f ca="1">IF(Errorhandling!$C$42,INDEX(Calc!$J$99:$J$109,MATCH(Display!B32,Calc!$K$99:$K$109,0),1),#N/A)</f>
        <v>#N/A</v>
      </c>
      <c r="J32" s="67">
        <f ca="1">Calc!C73</f>
        <v>216.60000000000002</v>
      </c>
      <c r="K32" s="89">
        <f ca="1">INDEX(Calc!$J$66:$J$73,MATCH(Display!J32,Calc!$C$66:$C$73,0))</f>
        <v>6.9125344785556667E-2</v>
      </c>
      <c r="L32" s="24"/>
    </row>
    <row r="33" spans="2:16" x14ac:dyDescent="0.2">
      <c r="B33" s="6">
        <f t="shared" si="0"/>
        <v>30</v>
      </c>
      <c r="C33" s="81" t="e">
        <f ca="1">VLOOKUP(B33,Calc!$K$66:$L$76,2,FALSE)</f>
        <v>#N/A</v>
      </c>
      <c r="D33" s="81" t="e">
        <f ca="1">VLOOKUP(B33,Calc!$K$77:$L$87,2,FALSE)</f>
        <v>#N/A</v>
      </c>
      <c r="E33" s="523" t="e">
        <f ca="1">VLOOKUP(B33,Calc!$K$88:$L$98,2,FALSE)</f>
        <v>#N/A</v>
      </c>
      <c r="F33" s="523" t="e">
        <f ca="1">IF(Errorhandling!$C$42,INDEX(Calc!$J$99:$J$109,MATCH(Display!B33,Calc!$K$99:$K$109,0),1),#N/A)</f>
        <v>#N/A</v>
      </c>
      <c r="J33" s="64">
        <f ca="1">IF(Errorhandling!C40,Calc!C77,"")</f>
        <v>45</v>
      </c>
      <c r="K33" s="81">
        <f ca="1">IF(Errorhandling!C40,INDEX(Calc!$J$77:$J$84,MATCH(Display!J33,Calc!$C$77:$C$84,0)),"")</f>
        <v>0.97642144794591401</v>
      </c>
      <c r="L33" s="24"/>
    </row>
    <row r="34" spans="2:16" x14ac:dyDescent="0.2">
      <c r="B34" s="6">
        <f t="shared" si="0"/>
        <v>31</v>
      </c>
      <c r="C34" s="81" t="e">
        <f ca="1">VLOOKUP(B34,Calc!$K$66:$L$76,2,FALSE)</f>
        <v>#N/A</v>
      </c>
      <c r="D34" s="81" t="e">
        <f ca="1">VLOOKUP(B34,Calc!$K$77:$L$87,2,FALSE)</f>
        <v>#N/A</v>
      </c>
      <c r="E34" s="523" t="e">
        <f ca="1">VLOOKUP(B34,Calc!$K$88:$L$98,2,FALSE)</f>
        <v>#N/A</v>
      </c>
      <c r="F34" s="523" t="e">
        <f ca="1">IF(Errorhandling!$C$42,INDEX(Calc!$J$99:$J$109,MATCH(Display!B34,Calc!$K$99:$K$109,0),1),#N/A)</f>
        <v>#N/A</v>
      </c>
      <c r="J34" s="64">
        <f ca="1">IF(Errorhandling!C40,Calc!C78,"")</f>
        <v>90</v>
      </c>
      <c r="K34" s="81">
        <f ca="1">IF(Errorhandling!C40,INDEX(Calc!$J$77:$J$84,MATCH(Display!J34,Calc!$C$77:$C$84,0)),"")</f>
        <v>0.77559912509380546</v>
      </c>
      <c r="L34" s="24"/>
    </row>
    <row r="35" spans="2:16" x14ac:dyDescent="0.2">
      <c r="B35" s="6">
        <f t="shared" si="0"/>
        <v>32</v>
      </c>
      <c r="C35" s="81" t="e">
        <f ca="1">VLOOKUP(B35,Calc!$K$66:$L$76,2,FALSE)</f>
        <v>#N/A</v>
      </c>
      <c r="D35" s="81" t="e">
        <f ca="1">VLOOKUP(B35,Calc!$K$77:$L$87,2,FALSE)</f>
        <v>#N/A</v>
      </c>
      <c r="E35" s="523" t="e">
        <f ca="1">VLOOKUP(B35,Calc!$K$88:$L$98,2,FALSE)</f>
        <v>#N/A</v>
      </c>
      <c r="F35" s="523" t="e">
        <f ca="1">IF(Errorhandling!$C$42,INDEX(Calc!$J$99:$J$109,MATCH(Display!B35,Calc!$K$99:$K$109,0),1),#N/A)</f>
        <v>#N/A</v>
      </c>
      <c r="J35" s="64">
        <f ca="1">IF(Errorhandling!C40,Calc!C79,"")</f>
        <v>135</v>
      </c>
      <c r="K35" s="81">
        <f ca="1">IF(Errorhandling!C40,INDEX(Calc!$J$77:$J$84,MATCH(Display!J35,Calc!$C$77:$C$84,0)),"")</f>
        <v>0.43615143982172577</v>
      </c>
      <c r="L35" s="24"/>
    </row>
    <row r="36" spans="2:16" x14ac:dyDescent="0.2">
      <c r="B36" s="6">
        <f t="shared" si="0"/>
        <v>33</v>
      </c>
      <c r="C36" s="81" t="e">
        <f ca="1">VLOOKUP(B36,Calc!$K$66:$L$76,2,FALSE)</f>
        <v>#N/A</v>
      </c>
      <c r="D36" s="81" t="e">
        <f ca="1">VLOOKUP(B36,Calc!$K$77:$L$87,2,FALSE)</f>
        <v>#N/A</v>
      </c>
      <c r="E36" s="523" t="e">
        <f ca="1">VLOOKUP(B36,Calc!$K$88:$L$98,2,FALSE)</f>
        <v>#N/A</v>
      </c>
      <c r="F36" s="523" t="e">
        <f ca="1">IF(Errorhandling!$C$42,INDEX(Calc!$J$99:$J$109,MATCH(Display!B36,Calc!$K$99:$K$109,0),1),#N/A)</f>
        <v>#N/A</v>
      </c>
      <c r="J36" s="64">
        <f ca="1">IF(Errorhandling!C40,Calc!C80,"")</f>
        <v>180</v>
      </c>
      <c r="K36" s="81">
        <f ca="1">IF(Errorhandling!C40,INDEX(Calc!$J$77:$J$84,MATCH(Display!J36,Calc!$C$77:$C$84,0)),"")</f>
        <v>0.24526597865302802</v>
      </c>
      <c r="L36" s="24"/>
    </row>
    <row r="37" spans="2:16" x14ac:dyDescent="0.2">
      <c r="B37" s="6">
        <f t="shared" si="0"/>
        <v>34</v>
      </c>
      <c r="C37" s="81" t="e">
        <f ca="1">VLOOKUP(B37,Calc!$K$66:$L$76,2,FALSE)</f>
        <v>#N/A</v>
      </c>
      <c r="D37" s="81" t="e">
        <f ca="1">VLOOKUP(B37,Calc!$K$77:$L$87,2,FALSE)</f>
        <v>#N/A</v>
      </c>
      <c r="E37" s="523" t="e">
        <f ca="1">VLOOKUP(B37,Calc!$K$88:$L$98,2,FALSE)</f>
        <v>#N/A</v>
      </c>
      <c r="F37" s="523" t="e">
        <f ca="1">IF(Errorhandling!$C$42,INDEX(Calc!$J$99:$J$109,MATCH(Display!B37,Calc!$K$99:$K$109,0),1),#N/A)</f>
        <v>#N/A</v>
      </c>
      <c r="J37" s="64">
        <f ca="1">IF(Errorhandling!C40,Calc!C81,"")</f>
        <v>270</v>
      </c>
      <c r="K37" s="81">
        <f ca="1">IF(Errorhandling!C40,INDEX(Calc!$J$77:$J$84,MATCH(Display!J37,Calc!$C$77:$C$84,0)),"")</f>
        <v>0.19482169186138323</v>
      </c>
      <c r="L37" s="24"/>
    </row>
    <row r="38" spans="2:16" x14ac:dyDescent="0.2">
      <c r="B38" s="6">
        <f t="shared" si="0"/>
        <v>35</v>
      </c>
      <c r="C38" s="81" t="e">
        <f ca="1">VLOOKUP(B38,Calc!$K$66:$L$76,2,FALSE)</f>
        <v>#N/A</v>
      </c>
      <c r="D38" s="81" t="e">
        <f ca="1">VLOOKUP(B38,Calc!$K$77:$L$87,2,FALSE)</f>
        <v>#N/A</v>
      </c>
      <c r="E38" s="523" t="e">
        <f ca="1">VLOOKUP(B38,Calc!$K$88:$L$98,2,FALSE)</f>
        <v>#N/A</v>
      </c>
      <c r="F38" s="523" t="e">
        <f ca="1">IF(Errorhandling!$C$42,INDEX(Calc!$J$99:$J$109,MATCH(Display!B38,Calc!$K$99:$K$109,0),1),#N/A)</f>
        <v>#N/A</v>
      </c>
      <c r="J38" s="64">
        <f ca="1">IF(Errorhandling!C40,Calc!C82,"")</f>
        <v>360</v>
      </c>
      <c r="K38" s="81">
        <f ca="1">IF(Errorhandling!C40,INDEX(Calc!$J$77:$J$84,MATCH(Display!J38,Calc!$C$77:$C$84,0)),"")</f>
        <v>0.15475237058225047</v>
      </c>
      <c r="L38" s="24"/>
    </row>
    <row r="39" spans="2:16" x14ac:dyDescent="0.2">
      <c r="B39" s="6">
        <f t="shared" si="0"/>
        <v>36</v>
      </c>
      <c r="C39" s="81" t="e">
        <f ca="1">VLOOKUP(B39,Calc!$K$66:$L$76,2,FALSE)</f>
        <v>#N/A</v>
      </c>
      <c r="D39" s="81" t="e">
        <f ca="1">VLOOKUP(B39,Calc!$K$77:$L$87,2,FALSE)</f>
        <v>#N/A</v>
      </c>
      <c r="E39" s="523" t="e">
        <f ca="1">VLOOKUP(B39,Calc!$K$88:$L$98,2,FALSE)</f>
        <v>#N/A</v>
      </c>
      <c r="F39" s="523" t="e">
        <f ca="1">IF(Errorhandling!$C$42,INDEX(Calc!$J$99:$J$109,MATCH(Display!B39,Calc!$K$99:$K$109,0),1),#N/A)</f>
        <v>#N/A</v>
      </c>
      <c r="J39" s="64">
        <f ca="1">IF(Errorhandling!C40,Calc!C83,"")</f>
        <v>405</v>
      </c>
      <c r="K39" s="81">
        <f ca="1">IF(Errorhandling!C40,INDEX(Calc!$J$77:$J$84,MATCH(Display!J39,Calc!$C$77:$C$84,0)),"")</f>
        <v>0.1379231954598516</v>
      </c>
      <c r="L39" s="24"/>
    </row>
    <row r="40" spans="2:16" x14ac:dyDescent="0.2">
      <c r="B40" s="6">
        <f t="shared" si="0"/>
        <v>37</v>
      </c>
      <c r="C40" s="81" t="e">
        <f ca="1">VLOOKUP(B40,Calc!$K$66:$L$76,2,FALSE)</f>
        <v>#N/A</v>
      </c>
      <c r="D40" s="81" t="e">
        <f ca="1">VLOOKUP(B40,Calc!$K$77:$L$87,2,FALSE)</f>
        <v>#N/A</v>
      </c>
      <c r="E40" s="523" t="e">
        <f ca="1">VLOOKUP(B40,Calc!$K$88:$L$98,2,FALSE)</f>
        <v>#N/A</v>
      </c>
      <c r="F40" s="523" t="e">
        <f ca="1">IF(Errorhandling!$C$42,INDEX(Calc!$J$99:$J$109,MATCH(Display!B40,Calc!$K$99:$K$109,0),1),#N/A)</f>
        <v>#N/A</v>
      </c>
      <c r="J40" s="67">
        <f ca="1">IF(Errorhandling!C40,Calc!C84,"")</f>
        <v>450</v>
      </c>
      <c r="K40" s="89">
        <f ca="1">IF(Errorhandling!C40,INDEX(Calc!$J$77:$J$84,MATCH(Display!J40,Calc!$C$77:$C$84,0)),"")</f>
        <v>7.7559912509380532E-2</v>
      </c>
      <c r="L40" s="24"/>
    </row>
    <row r="41" spans="2:16" x14ac:dyDescent="0.2">
      <c r="B41" s="6">
        <f t="shared" si="0"/>
        <v>38</v>
      </c>
      <c r="C41" s="81" t="e">
        <f ca="1">VLOOKUP(B41,Calc!$K$66:$L$76,2,FALSE)</f>
        <v>#N/A</v>
      </c>
      <c r="D41" s="81" t="e">
        <f ca="1">VLOOKUP(B41,Calc!$K$77:$L$87,2,FALSE)</f>
        <v>#N/A</v>
      </c>
      <c r="E41" s="523" t="e">
        <f ca="1">VLOOKUP(B41,Calc!$K$88:$L$98,2,FALSE)</f>
        <v>#N/A</v>
      </c>
      <c r="F41" s="523" t="e">
        <f ca="1">IF(Errorhandling!$C$42,INDEX(Calc!$J$99:$J$109,MATCH(Display!B41,Calc!$K$99:$K$109,0),1),#N/A)</f>
        <v>#N/A</v>
      </c>
      <c r="L41" s="24"/>
    </row>
    <row r="42" spans="2:16" x14ac:dyDescent="0.2">
      <c r="B42" s="6">
        <f t="shared" si="0"/>
        <v>39</v>
      </c>
      <c r="C42" s="81" t="e">
        <f ca="1">VLOOKUP(B42,Calc!$K$66:$L$76,2,FALSE)</f>
        <v>#N/A</v>
      </c>
      <c r="D42" s="81" t="e">
        <f ca="1">VLOOKUP(B42,Calc!$K$77:$L$87,2,FALSE)</f>
        <v>#N/A</v>
      </c>
      <c r="E42" s="523" t="e">
        <f ca="1">VLOOKUP(B42,Calc!$K$88:$L$98,2,FALSE)</f>
        <v>#N/A</v>
      </c>
      <c r="F42" s="523" t="e">
        <f ca="1">IF(Errorhandling!$C$42,INDEX(Calc!$J$99:$J$109,MATCH(Display!B42,Calc!$K$99:$K$109,0),1),#N/A)</f>
        <v>#N/A</v>
      </c>
    </row>
    <row r="43" spans="2:16" x14ac:dyDescent="0.2">
      <c r="B43" s="6">
        <f t="shared" si="0"/>
        <v>40</v>
      </c>
      <c r="C43" s="81" t="e">
        <f ca="1">VLOOKUP(B43,Calc!$K$66:$L$76,2,FALSE)</f>
        <v>#N/A</v>
      </c>
      <c r="D43" s="81" t="e">
        <f ca="1">VLOOKUP(B43,Calc!$K$77:$L$87,2,FALSE)</f>
        <v>#N/A</v>
      </c>
      <c r="E43" s="523" t="e">
        <f ca="1">VLOOKUP(B43,Calc!$K$88:$L$98,2,FALSE)</f>
        <v>#N/A</v>
      </c>
      <c r="F43" s="523" t="e">
        <f ca="1">IF(Errorhandling!$C$42,INDEX(Calc!$J$99:$J$109,MATCH(Display!B43,Calc!$K$99:$K$109,0),1),#N/A)</f>
        <v>#N/A</v>
      </c>
      <c r="I43" s="514" t="s">
        <v>586</v>
      </c>
      <c r="J43" s="515"/>
      <c r="K43" s="515"/>
    </row>
    <row r="44" spans="2:16" x14ac:dyDescent="0.2">
      <c r="B44" s="6">
        <f t="shared" si="0"/>
        <v>41</v>
      </c>
      <c r="C44" s="81" t="e">
        <f ca="1">VLOOKUP(B44,Calc!$K$66:$L$76,2,FALSE)</f>
        <v>#N/A</v>
      </c>
      <c r="D44" s="81" t="e">
        <f ca="1">VLOOKUP(B44,Calc!$K$77:$L$87,2,FALSE)</f>
        <v>#N/A</v>
      </c>
      <c r="E44" s="523" t="e">
        <f ca="1">VLOOKUP(B44,Calc!$K$88:$L$98,2,FALSE)</f>
        <v>#N/A</v>
      </c>
      <c r="F44" s="523" t="e">
        <f ca="1">IF(Errorhandling!$C$42,INDEX(Calc!$J$99:$J$109,MATCH(Display!B44,Calc!$K$99:$K$109,0),1),#N/A)</f>
        <v>#N/A</v>
      </c>
    </row>
    <row r="45" spans="2:16" ht="11.25" customHeight="1" x14ac:dyDescent="0.2">
      <c r="B45" s="6">
        <f t="shared" si="0"/>
        <v>42</v>
      </c>
      <c r="C45" s="81" t="e">
        <f ca="1">VLOOKUP(B45,Calc!$K$66:$L$76,2,FALSE)</f>
        <v>#N/A</v>
      </c>
      <c r="D45" s="81" t="e">
        <f ca="1">VLOOKUP(B45,Calc!$K$77:$L$87,2,FALSE)</f>
        <v>#N/A</v>
      </c>
      <c r="E45" s="523" t="e">
        <f ca="1">VLOOKUP(B45,Calc!$K$88:$L$98,2,FALSE)</f>
        <v>#N/A</v>
      </c>
      <c r="F45" s="523" t="e">
        <f ca="1">IF(Errorhandling!$C$42,INDEX(Calc!$J$99:$J$109,MATCH(Display!B45,Calc!$K$99:$K$109,0),1),#N/A)</f>
        <v>#N/A</v>
      </c>
      <c r="I45" s="884" t="str">
        <f>LanguageTable!$B$22</f>
        <v>Gross data rate [Mbps]</v>
      </c>
      <c r="J45" s="869" t="str">
        <f>LanguageTable!$B$23</f>
        <v>Max. distance [m]</v>
      </c>
      <c r="K45" s="884" t="str">
        <f>LanguageTable!$B$22</f>
        <v>Gross data rate [Mbps]</v>
      </c>
      <c r="L45" s="872" t="str">
        <f>LanguageTable!$B$23</f>
        <v>Max. distance [m]</v>
      </c>
      <c r="M45" s="869" t="str">
        <f>LanguageTable!$B$22</f>
        <v>Gross data rate [Mbps]</v>
      </c>
      <c r="N45" s="872" t="str">
        <f>LanguageTable!$B$23</f>
        <v>Max. distance [m]</v>
      </c>
      <c r="O45" s="869" t="str">
        <f>LanguageTable!$B$22</f>
        <v>Gross data rate [Mbps]</v>
      </c>
      <c r="P45" s="872" t="str">
        <f>LanguageTable!$B$23</f>
        <v>Max. distance [m]</v>
      </c>
    </row>
    <row r="46" spans="2:16" ht="11.25" customHeight="1" x14ac:dyDescent="0.2">
      <c r="B46" s="6">
        <f t="shared" si="0"/>
        <v>43</v>
      </c>
      <c r="C46" s="81">
        <f ca="1">VLOOKUP(B46,Calc!$K$66:$L$76,2,FALSE)</f>
        <v>616.08028388945922</v>
      </c>
      <c r="D46" s="81" t="e">
        <f ca="1">VLOOKUP(B46,Calc!$K$77:$L$87,2,FALSE)</f>
        <v>#N/A</v>
      </c>
      <c r="E46" s="523" t="e">
        <f ca="1">VLOOKUP(B46,Calc!$K$88:$L$98,2,FALSE)</f>
        <v>#N/A</v>
      </c>
      <c r="F46" s="523" t="e">
        <f ca="1">IF(Errorhandling!$C$42,INDEX(Calc!$J$99:$J$109,MATCH(Display!B46,Calc!$K$99:$K$109,0),1),#N/A)</f>
        <v>#N/A</v>
      </c>
      <c r="I46" s="885"/>
      <c r="J46" s="870"/>
      <c r="K46" s="885"/>
      <c r="L46" s="873"/>
      <c r="M46" s="870"/>
      <c r="N46" s="873"/>
      <c r="O46" s="870"/>
      <c r="P46" s="873"/>
    </row>
    <row r="47" spans="2:16" ht="16.5" customHeight="1" x14ac:dyDescent="0.2">
      <c r="B47" s="6">
        <f t="shared" si="0"/>
        <v>44</v>
      </c>
      <c r="C47" s="81" t="e">
        <f ca="1">VLOOKUP(B47,Calc!$K$66:$L$76,2,FALSE)</f>
        <v>#N/A</v>
      </c>
      <c r="D47" s="81" t="e">
        <f ca="1">VLOOKUP(B47,Calc!$K$77:$L$87,2,FALSE)</f>
        <v>#N/A</v>
      </c>
      <c r="E47" s="523" t="e">
        <f ca="1">VLOOKUP(B47,Calc!$K$88:$L$98,2,FALSE)</f>
        <v>#N/A</v>
      </c>
      <c r="F47" s="523" t="e">
        <f ca="1">IF(Errorhandling!$C$42,INDEX(Calc!$J$99:$J$109,MATCH(Display!B47,Calc!$K$99:$K$109,0),1),#N/A)</f>
        <v>#N/A</v>
      </c>
      <c r="I47" s="886"/>
      <c r="J47" s="871"/>
      <c r="K47" s="886"/>
      <c r="L47" s="874"/>
      <c r="M47" s="871"/>
      <c r="N47" s="874"/>
      <c r="O47" s="871"/>
      <c r="P47" s="874"/>
    </row>
    <row r="48" spans="2:16" ht="10.5" x14ac:dyDescent="0.25">
      <c r="B48" s="6">
        <f t="shared" si="0"/>
        <v>45</v>
      </c>
      <c r="C48" s="81" t="e">
        <f ca="1">VLOOKUP(B48,Calc!$K$66:$L$76,2,FALSE)</f>
        <v>#N/A</v>
      </c>
      <c r="D48" s="81">
        <f ca="1">VLOOKUP(B48,Calc!$K$77:$L$87,2,FALSE)</f>
        <v>976.421447945914</v>
      </c>
      <c r="E48" s="523" t="e">
        <f ca="1">VLOOKUP(B48,Calc!$K$88:$L$98,2,FALSE)</f>
        <v>#N/A</v>
      </c>
      <c r="F48" s="523" t="e">
        <f ca="1">IF(Errorhandling!$C$42,INDEX(Calc!$J$99:$J$109,MATCH(Display!B48,Calc!$K$99:$K$109,0),1),#N/A)</f>
        <v>#N/A</v>
      </c>
      <c r="I48" s="805" t="s">
        <v>587</v>
      </c>
      <c r="J48" s="806"/>
      <c r="K48" s="877" t="s">
        <v>443</v>
      </c>
      <c r="L48" s="878"/>
      <c r="M48" s="879" t="s">
        <v>581</v>
      </c>
      <c r="N48" s="880"/>
      <c r="O48" s="875" t="s">
        <v>667</v>
      </c>
      <c r="P48" s="876"/>
    </row>
    <row r="49" spans="2:16" ht="12.5" x14ac:dyDescent="0.25">
      <c r="B49" s="6">
        <f t="shared" si="0"/>
        <v>46</v>
      </c>
      <c r="C49" s="81" t="e">
        <f ca="1">VLOOKUP(B49,Calc!$K$66:$L$76,2,FALSE)</f>
        <v>#N/A</v>
      </c>
      <c r="D49" s="81" t="e">
        <f ca="1">VLOOKUP(B49,Calc!$K$77:$L$87,2,FALSE)</f>
        <v>#N/A</v>
      </c>
      <c r="E49" s="523" t="e">
        <f ca="1">VLOOKUP(B49,Calc!$K$88:$L$98,2,FALSE)</f>
        <v>#N/A</v>
      </c>
      <c r="F49" s="523" t="e">
        <f ca="1">IF(Errorhandling!$C$42,INDEX(Calc!$J$99:$J$109,MATCH(Display!B49,Calc!$K$99:$K$109,0),1),#N/A)</f>
        <v>#N/A</v>
      </c>
      <c r="I49" s="505">
        <f ca="1">IF(ISNUMBER(Calc!C66),Calc!C66,"")</f>
        <v>21.6</v>
      </c>
      <c r="J49" s="749">
        <f ca="1">Calc!J66*1000</f>
        <v>870.23653149570634</v>
      </c>
      <c r="K49" s="507">
        <f ca="1">Calc!C77</f>
        <v>45</v>
      </c>
      <c r="L49" s="750">
        <f ca="1">Calc!J77*1000</f>
        <v>976.421447945914</v>
      </c>
      <c r="M49" s="508">
        <f ca="1">Calc!C88</f>
        <v>97.5</v>
      </c>
      <c r="N49" s="752">
        <f ca="1">Calc!J88*1000</f>
        <v>870.23653149570634</v>
      </c>
      <c r="O49" s="509">
        <f ca="1">Calc!C99</f>
        <v>97.5</v>
      </c>
      <c r="P49" s="524">
        <f ca="1">IF(ISNUMBER(INDEX(Calc!$J$99:$J$109,MATCH(Display!O49,Calc!$C$99:$C$109,0))),INDEX(Calc!$J$99:$J$109,MATCH(Display!O49,Calc!$C$99:$C$109,0)),"")</f>
        <v>3.8872037990949677E-5</v>
      </c>
    </row>
    <row r="50" spans="2:16" ht="12.5" x14ac:dyDescent="0.25">
      <c r="B50" s="6">
        <f t="shared" si="0"/>
        <v>47</v>
      </c>
      <c r="C50" s="81" t="e">
        <f ca="1">VLOOKUP(B50,Calc!$K$66:$L$76,2,FALSE)</f>
        <v>#N/A</v>
      </c>
      <c r="D50" s="81" t="e">
        <f ca="1">VLOOKUP(B50,Calc!$K$77:$L$87,2,FALSE)</f>
        <v>#N/A</v>
      </c>
      <c r="E50" s="523" t="e">
        <f ca="1">VLOOKUP(B50,Calc!$K$88:$L$98,2,FALSE)</f>
        <v>#N/A</v>
      </c>
      <c r="F50" s="523" t="e">
        <f ca="1">IF(Errorhandling!$C$42,INDEX(Calc!$J$99:$J$109,MATCH(Display!B50,Calc!$K$99:$K$109,0),1),#N/A)</f>
        <v>#N/A</v>
      </c>
      <c r="I50" s="505">
        <f ca="1">IF(ISNUMBER(Calc!C67),Calc!C67,"")</f>
        <v>43.2</v>
      </c>
      <c r="J50" s="749">
        <f ca="1">Calc!J67*1000</f>
        <v>616.08028388945922</v>
      </c>
      <c r="K50" s="505">
        <f ca="1">Calc!C78</f>
        <v>90</v>
      </c>
      <c r="L50" s="751">
        <f ca="1">Calc!J78*1000</f>
        <v>775.59912509380547</v>
      </c>
      <c r="M50" s="509">
        <f ca="1">Calc!C89</f>
        <v>195</v>
      </c>
      <c r="N50" s="753">
        <f ca="1">Calc!J89*1000</f>
        <v>691.25344785556547</v>
      </c>
      <c r="O50" s="509">
        <f ca="1">Calc!C100</f>
        <v>195</v>
      </c>
      <c r="P50" s="524">
        <f ca="1">IF(ISNUMBER(INDEX(Calc!$J$99:$J$109,MATCH(Display!O50,Calc!$C$99:$C$109,0))),INDEX(Calc!$J$99:$J$109,MATCH(Display!O50,Calc!$C$99:$C$109,0)),"")</f>
        <v>3.8872037990949677E-5</v>
      </c>
    </row>
    <row r="51" spans="2:16" ht="12.5" x14ac:dyDescent="0.25">
      <c r="B51" s="6">
        <f t="shared" si="0"/>
        <v>48</v>
      </c>
      <c r="C51" s="81" t="e">
        <f ca="1">VLOOKUP(B51,Calc!$K$66:$L$76,2,FALSE)</f>
        <v>#N/A</v>
      </c>
      <c r="D51" s="81" t="e">
        <f ca="1">VLOOKUP(B51,Calc!$K$77:$L$87,2,FALSE)</f>
        <v>#N/A</v>
      </c>
      <c r="E51" s="523" t="e">
        <f ca="1">VLOOKUP(B51,Calc!$K$88:$L$98,2,FALSE)</f>
        <v>#N/A</v>
      </c>
      <c r="F51" s="523" t="e">
        <f ca="1">IF(Errorhandling!$C$42,INDEX(Calc!$J$99:$J$109,MATCH(Display!B51,Calc!$K$99:$K$109,0),1),#N/A)</f>
        <v>#N/A</v>
      </c>
      <c r="I51" s="505">
        <f ca="1">IF(ISNUMBER(Calc!C68),Calc!C68,"")</f>
        <v>65.099999999999994</v>
      </c>
      <c r="J51" s="749">
        <f ca="1">Calc!J68*1000</f>
        <v>489.36996435034837</v>
      </c>
      <c r="K51" s="505">
        <f ca="1">Calc!C79</f>
        <v>135</v>
      </c>
      <c r="L51" s="751">
        <f ca="1">Calc!J79*1000</f>
        <v>436.15143982172577</v>
      </c>
      <c r="M51" s="509">
        <f ca="1">Calc!C90</f>
        <v>292.5</v>
      </c>
      <c r="N51" s="753">
        <f ca="1">Calc!J90*1000</f>
        <v>549.08213098218505</v>
      </c>
      <c r="O51" s="509">
        <f ca="1">Calc!C101</f>
        <v>292.5</v>
      </c>
      <c r="P51" s="524">
        <f ca="1">IF(ISNUMBER(INDEX(Calc!$J$99:$J$109,MATCH(Display!O51,Calc!$C$99:$C$109,0))),INDEX(Calc!$J$99:$J$109,MATCH(Display!O51,Calc!$C$99:$C$109,0)),"")</f>
        <v>3.4644740326604493E-5</v>
      </c>
    </row>
    <row r="52" spans="2:16" ht="12.5" x14ac:dyDescent="0.25">
      <c r="B52" s="6">
        <f t="shared" si="0"/>
        <v>49</v>
      </c>
      <c r="C52" s="81" t="e">
        <f ca="1">VLOOKUP(B52,Calc!$K$66:$L$76,2,FALSE)</f>
        <v>#N/A</v>
      </c>
      <c r="D52" s="81" t="e">
        <f ca="1">VLOOKUP(B52,Calc!$K$77:$L$87,2,FALSE)</f>
        <v>#N/A</v>
      </c>
      <c r="E52" s="523" t="e">
        <f ca="1">VLOOKUP(B52,Calc!$K$88:$L$98,2,FALSE)</f>
        <v>#N/A</v>
      </c>
      <c r="F52" s="523" t="e">
        <f ca="1">IF(Errorhandling!$C$42,INDEX(Calc!$J$99:$J$109,MATCH(Display!B52,Calc!$K$99:$K$109,0),1),#N/A)</f>
        <v>#N/A</v>
      </c>
      <c r="I52" s="505">
        <f ca="1">IF(ISNUMBER(Calc!C69),Calc!C69,"")</f>
        <v>86.699999999999989</v>
      </c>
      <c r="J52" s="749">
        <f ca="1">Calc!J69*1000</f>
        <v>275.19295426112899</v>
      </c>
      <c r="K52" s="505">
        <f ca="1">Calc!C80</f>
        <v>180</v>
      </c>
      <c r="L52" s="751">
        <f ca="1">Calc!J80*1000</f>
        <v>245.26597865302801</v>
      </c>
      <c r="M52" s="509">
        <f ca="1">Calc!C91</f>
        <v>390</v>
      </c>
      <c r="N52" s="753">
        <f ca="1">Calc!J91*1000</f>
        <v>346.44740326604517</v>
      </c>
      <c r="O52" s="509">
        <f ca="1">Calc!C102</f>
        <v>390</v>
      </c>
      <c r="P52" s="524">
        <f ca="1">IF(ISNUMBER(INDEX(Calc!$J$99:$J$109,MATCH(Display!O52,Calc!$C$99:$C$109,0))),INDEX(Calc!$J$99:$J$109,MATCH(Display!O52,Calc!$C$99:$C$109,0)),"")</f>
        <v>3.4644740326604493E-5</v>
      </c>
    </row>
    <row r="53" spans="2:16" ht="12.5" x14ac:dyDescent="0.25">
      <c r="B53" s="6">
        <f t="shared" si="0"/>
        <v>50</v>
      </c>
      <c r="C53" s="81" t="e">
        <f ca="1">VLOOKUP(B53,Calc!$K$66:$L$76,2,FALSE)</f>
        <v>#N/A</v>
      </c>
      <c r="D53" s="81" t="e">
        <f ca="1">VLOOKUP(B53,Calc!$K$77:$L$87,2,FALSE)</f>
        <v>#N/A</v>
      </c>
      <c r="E53" s="523" t="e">
        <f ca="1">VLOOKUP(B53,Calc!$K$88:$L$98,2,FALSE)</f>
        <v>#N/A</v>
      </c>
      <c r="F53" s="523" t="e">
        <f ca="1">IF(Errorhandling!$C$42,INDEX(Calc!$J$99:$J$109,MATCH(Display!B53,Calc!$K$99:$K$109,0),1),#N/A)</f>
        <v>#N/A</v>
      </c>
      <c r="I53" s="505">
        <f ca="1">IF(ISNUMBER(Calc!C70),Calc!C70,"")</f>
        <v>129.89999999999998</v>
      </c>
      <c r="J53" s="749">
        <f ca="1">Calc!J70*1000</f>
        <v>154.75237058225048</v>
      </c>
      <c r="K53" s="505">
        <f ca="1">Calc!C81</f>
        <v>270</v>
      </c>
      <c r="L53" s="751">
        <f ca="1">Calc!J81*1000</f>
        <v>194.82169186138324</v>
      </c>
      <c r="M53" s="509">
        <f ca="1">Calc!C92</f>
        <v>585</v>
      </c>
      <c r="N53" s="753">
        <f ca="1">Calc!J92*1000</f>
        <v>218.59353356680251</v>
      </c>
      <c r="O53" s="509">
        <f ca="1">Calc!C103</f>
        <v>585</v>
      </c>
      <c r="P53" s="524">
        <f ca="1">IF(ISNUMBER(INDEX(Calc!$J$99:$J$109,MATCH(Display!O53,Calc!$C$99:$C$109,0))),INDEX(Calc!$J$99:$J$109,MATCH(Display!O53,Calc!$C$99:$C$109,0)),"")</f>
        <v>3.0877157317486264E-5</v>
      </c>
    </row>
    <row r="54" spans="2:16" ht="12.5" x14ac:dyDescent="0.25">
      <c r="B54" s="6">
        <f t="shared" si="0"/>
        <v>51</v>
      </c>
      <c r="C54" s="81" t="e">
        <f ca="1">VLOOKUP(B54,Calc!$K$66:$L$76,2,FALSE)</f>
        <v>#N/A</v>
      </c>
      <c r="D54" s="81" t="e">
        <f ca="1">VLOOKUP(B54,Calc!$K$77:$L$87,2,FALSE)</f>
        <v>#N/A</v>
      </c>
      <c r="E54" s="523" t="e">
        <f ca="1">VLOOKUP(B54,Calc!$K$88:$L$98,2,FALSE)</f>
        <v>#N/A</v>
      </c>
      <c r="F54" s="523" t="e">
        <f ca="1">IF(Errorhandling!$C$42,INDEX(Calc!$J$99:$J$109,MATCH(Display!B54,Calc!$K$99:$K$109,0),1),#N/A)</f>
        <v>#N/A</v>
      </c>
      <c r="I54" s="505">
        <f ca="1">IF(ISNUMBER(Calc!C71),Calc!C71,"")</f>
        <v>173.39999999999998</v>
      </c>
      <c r="J54" s="749">
        <f ca="1">Calc!J71*1000</f>
        <v>122.92417734399675</v>
      </c>
      <c r="K54" s="505">
        <f ca="1">Calc!C82</f>
        <v>360</v>
      </c>
      <c r="L54" s="751">
        <f ca="1">Calc!J82*1000</f>
        <v>154.75237058225048</v>
      </c>
      <c r="M54" s="509">
        <f ca="1">Calc!C93</f>
        <v>780</v>
      </c>
      <c r="N54" s="753">
        <f ca="1">Calc!J93*1000</f>
        <v>122.92417734399675</v>
      </c>
      <c r="O54" s="509">
        <f ca="1">Calc!C104</f>
        <v>780</v>
      </c>
      <c r="P54" s="524">
        <f ca="1">IF(ISNUMBER(INDEX(Calc!$J$99:$J$109,MATCH(Display!O54,Calc!$C$99:$C$109,0))),INDEX(Calc!$J$99:$J$109,MATCH(Display!O54,Calc!$C$99:$C$109,0)),"")</f>
        <v>3.0877157317486264E-5</v>
      </c>
    </row>
    <row r="55" spans="2:16" ht="12.5" x14ac:dyDescent="0.25">
      <c r="B55" s="6">
        <f t="shared" si="0"/>
        <v>52</v>
      </c>
      <c r="C55" s="81" t="e">
        <f ca="1">VLOOKUP(B55,Calc!$K$66:$L$76,2,FALSE)</f>
        <v>#N/A</v>
      </c>
      <c r="D55" s="81" t="e">
        <f ca="1">VLOOKUP(B55,Calc!$K$77:$L$87,2,FALSE)</f>
        <v>#N/A</v>
      </c>
      <c r="E55" s="523" t="e">
        <f ca="1">VLOOKUP(B55,Calc!$K$88:$L$98,2,FALSE)</f>
        <v>#N/A</v>
      </c>
      <c r="F55" s="523" t="e">
        <f ca="1">IF(Errorhandling!$C$42,INDEX(Calc!$J$99:$J$109,MATCH(Display!B55,Calc!$K$99:$K$109,0),1),#N/A)</f>
        <v>#N/A</v>
      </c>
      <c r="I55" s="505">
        <f ca="1">IF(ISNUMBER(Calc!C72),Calc!C72,"")</f>
        <v>195</v>
      </c>
      <c r="J55" s="749">
        <f ca="1">Calc!J72*1000</f>
        <v>97.642144794591459</v>
      </c>
      <c r="K55" s="505">
        <f ca="1">Calc!C83</f>
        <v>405</v>
      </c>
      <c r="L55" s="751">
        <f ca="1">Calc!J83*1000</f>
        <v>137.9231954598516</v>
      </c>
      <c r="M55" s="509">
        <f ca="1">Calc!C94</f>
        <v>877.5</v>
      </c>
      <c r="N55" s="753">
        <f ca="1">Calc!J94*1000</f>
        <v>87.023653149570706</v>
      </c>
      <c r="O55" s="509">
        <f ca="1">Calc!C105</f>
        <v>877.5</v>
      </c>
      <c r="P55" s="524">
        <f ca="1">IF(ISNUMBER(INDEX(Calc!$J$99:$J$109,MATCH(Display!O55,Calc!$C$99:$C$109,0))),INDEX(Calc!$J$99:$J$109,MATCH(Display!O55,Calc!$C$99:$C$109,0)),"")</f>
        <v>2.7519295426112869E-5</v>
      </c>
    </row>
    <row r="56" spans="2:16" ht="12.5" x14ac:dyDescent="0.25">
      <c r="B56" s="6">
        <f t="shared" si="0"/>
        <v>53</v>
      </c>
      <c r="C56" s="81" t="e">
        <f ca="1">VLOOKUP(B56,Calc!$K$66:$L$76,2,FALSE)</f>
        <v>#N/A</v>
      </c>
      <c r="D56" s="81" t="e">
        <f ca="1">VLOOKUP(B56,Calc!$K$77:$L$87,2,FALSE)</f>
        <v>#N/A</v>
      </c>
      <c r="E56" s="523" t="e">
        <f ca="1">VLOOKUP(B56,Calc!$K$88:$L$98,2,FALSE)</f>
        <v>#N/A</v>
      </c>
      <c r="F56" s="523" t="e">
        <f ca="1">IF(Errorhandling!$C$42,INDEX(Calc!$J$99:$J$109,MATCH(Display!B56,Calc!$K$99:$K$109,0),1),#N/A)</f>
        <v>#N/A</v>
      </c>
      <c r="I56" s="505">
        <f ca="1">IF(ISNUMBER(Calc!C73),Calc!C73,"")</f>
        <v>216.60000000000002</v>
      </c>
      <c r="J56" s="749">
        <f ca="1">Calc!J73*1000</f>
        <v>69.125344785556663</v>
      </c>
      <c r="K56" s="505">
        <f ca="1">Calc!C84</f>
        <v>450</v>
      </c>
      <c r="L56" s="751">
        <f ca="1">Calc!J84*1000</f>
        <v>77.559912509380538</v>
      </c>
      <c r="M56" s="509">
        <f ca="1">Calc!C95</f>
        <v>975</v>
      </c>
      <c r="N56" s="753">
        <f ca="1">Calc!J95*1000</f>
        <v>87.023653149570706</v>
      </c>
      <c r="O56" s="509">
        <f ca="1">Calc!C106</f>
        <v>975</v>
      </c>
      <c r="P56" s="524">
        <f ca="1">IF(ISNUMBER(INDEX(Calc!$J$99:$J$109,MATCH(Display!O56,Calc!$C$99:$C$109,0))),INDEX(Calc!$J$99:$J$109,MATCH(Display!O56,Calc!$C$99:$C$109,0)),"")</f>
        <v>2.7519295426112869E-5</v>
      </c>
    </row>
    <row r="57" spans="2:16" ht="12.5" x14ac:dyDescent="0.25">
      <c r="B57" s="6">
        <f t="shared" si="0"/>
        <v>54</v>
      </c>
      <c r="C57" s="81" t="e">
        <f ca="1">VLOOKUP(B57,Calc!$K$66:$L$76,2,FALSE)</f>
        <v>#N/A</v>
      </c>
      <c r="D57" s="81" t="e">
        <f ca="1">VLOOKUP(B57,Calc!$K$77:$L$87,2,FALSE)</f>
        <v>#N/A</v>
      </c>
      <c r="E57" s="523" t="e">
        <f ca="1">VLOOKUP(B57,Calc!$K$88:$L$98,2,FALSE)</f>
        <v>#N/A</v>
      </c>
      <c r="F57" s="523" t="e">
        <f ca="1">IF(Errorhandling!$C$42,INDEX(Calc!$J$99:$J$109,MATCH(Display!B57,Calc!$K$99:$K$109,0),1),#N/A)</f>
        <v>#N/A</v>
      </c>
      <c r="I57" s="505" t="str">
        <f ca="1">IF(ISNUMBER(Calc!C74),Calc!C74,"")</f>
        <v/>
      </c>
      <c r="J57" s="749" t="e">
        <f ca="1">Calc!J74*1000</f>
        <v>#VALUE!</v>
      </c>
      <c r="K57" s="505" t="str">
        <f ca="1">Calc!C85</f>
        <v/>
      </c>
      <c r="L57" s="751" t="e">
        <f ca="1">Calc!J85*1000</f>
        <v>#VALUE!</v>
      </c>
      <c r="M57" s="509">
        <f ca="1">Calc!C96</f>
        <v>1170</v>
      </c>
      <c r="N57" s="753">
        <f ca="1">Calc!J96*1000</f>
        <v>48.936996435034871</v>
      </c>
      <c r="O57" s="509">
        <f ca="1">Calc!C107</f>
        <v>1170</v>
      </c>
      <c r="P57" s="524">
        <f ca="1">IF(ISNUMBER(INDEX(Calc!$J$99:$J$109,MATCH(Display!O57,Calc!$C$99:$C$109,0))),INDEX(Calc!$J$99:$J$109,MATCH(Display!O57,Calc!$C$99:$C$109,0)),"")</f>
        <v>2.4526597865302789E-5</v>
      </c>
    </row>
    <row r="58" spans="2:16" ht="12.5" x14ac:dyDescent="0.25">
      <c r="B58" s="6">
        <f t="shared" si="0"/>
        <v>55</v>
      </c>
      <c r="C58" s="81" t="e">
        <f ca="1">VLOOKUP(B58,Calc!$K$66:$L$76,2,FALSE)</f>
        <v>#N/A</v>
      </c>
      <c r="D58" s="81" t="e">
        <f ca="1">VLOOKUP(B58,Calc!$K$77:$L$87,2,FALSE)</f>
        <v>#N/A</v>
      </c>
      <c r="E58" s="523" t="e">
        <f ca="1">VLOOKUP(B58,Calc!$K$88:$L$98,2,FALSE)</f>
        <v>#N/A</v>
      </c>
      <c r="F58" s="523" t="e">
        <f ca="1">IF(Errorhandling!$C$42,INDEX(Calc!$J$99:$J$109,MATCH(Display!B58,Calc!$K$99:$K$109,0),1),#N/A)</f>
        <v>#N/A</v>
      </c>
      <c r="I58" s="505" t="str">
        <f ca="1">IF(ISNUMBER(Calc!C75),Calc!C75,"")</f>
        <v/>
      </c>
      <c r="J58" s="506" t="str">
        <f ca="1">IF(ISNUMBER(INDEX(Calc!$J$66:$J$76,MATCH(Display!I58,Calc!$C$66:$C$76,0))),INDEX(Calc!$J$66:$J$76,MATCH(Display!I58,Calc!$C$66:$C$76,0)),"")</f>
        <v/>
      </c>
      <c r="K58" s="505" t="str">
        <f ca="1">Calc!C86</f>
        <v/>
      </c>
      <c r="L58" s="751" t="e">
        <f ca="1">Calc!J86*1000</f>
        <v>#VALUE!</v>
      </c>
      <c r="M58" s="509">
        <f ca="1">Calc!C97</f>
        <v>1299.9000000000001</v>
      </c>
      <c r="N58" s="753">
        <f ca="1">Calc!J97*1000</f>
        <v>30.877157317486262</v>
      </c>
      <c r="O58" s="509">
        <f ca="1">Calc!C108</f>
        <v>1300.0500000000002</v>
      </c>
      <c r="P58" s="524">
        <f ca="1">IF(ISNUMBER(INDEX(Calc!$J$99:$J$109,MATCH(Display!O58,Calc!$C$99:$C$109,0))),INDEX(Calc!$J$99:$J$109,MATCH(Display!O58,Calc!$C$99:$C$109,0)),"")</f>
        <v>2.1859353356680235E-5</v>
      </c>
    </row>
    <row r="59" spans="2:16" ht="12.5" x14ac:dyDescent="0.25">
      <c r="B59" s="6">
        <f t="shared" si="0"/>
        <v>56</v>
      </c>
      <c r="C59" s="81" t="e">
        <f ca="1">VLOOKUP(B59,Calc!$K$66:$L$76,2,FALSE)</f>
        <v>#N/A</v>
      </c>
      <c r="D59" s="81" t="e">
        <f ca="1">VLOOKUP(B59,Calc!$K$77:$L$87,2,FALSE)</f>
        <v>#N/A</v>
      </c>
      <c r="E59" s="523" t="e">
        <f ca="1">VLOOKUP(B59,Calc!$K$88:$L$98,2,FALSE)</f>
        <v>#N/A</v>
      </c>
      <c r="F59" s="523" t="e">
        <f ca="1">IF(Errorhandling!$C$42,INDEX(Calc!$J$99:$J$109,MATCH(Display!B59,Calc!$K$99:$K$109,0),1),#N/A)</f>
        <v>#N/A</v>
      </c>
      <c r="I59" s="510" t="str">
        <f ca="1">IF(ISNUMBER(Calc!C76),Calc!C76,"")</f>
        <v/>
      </c>
      <c r="J59" s="511" t="str">
        <f ca="1">IF(ISNUMBER(INDEX(Calc!$J$66:$J$76,MATCH(Display!I59,Calc!$C$66:$C$76,0))),INDEX(Calc!$J$66:$J$76,MATCH(Display!I59,Calc!$C$66:$C$76,0)),"")</f>
        <v/>
      </c>
      <c r="K59" s="510" t="str">
        <f ca="1">Calc!C87</f>
        <v/>
      </c>
      <c r="L59" s="512" t="str">
        <f ca="1">IF(ISNUMBER(INDEX(Calc!$J$77:$J$87,MATCH(Display!K59,Calc!$C$77:$C$87,0))),INDEX(Calc!$J$77:$J$87,MATCH(Display!K59,Calc!$C$77:$C$87,0)),"")</f>
        <v/>
      </c>
      <c r="M59" s="513" t="str">
        <f ca="1">Calc!C98</f>
        <v/>
      </c>
      <c r="N59" s="511" t="str">
        <f ca="1">IF(ISNUMBER(INDEX(Calc!$J$88:$J$98,MATCH(Display!M59,Calc!$C$88:$C$98,0))),INDEX(Calc!$J$88:$J$98,MATCH(Display!M59,Calc!$C$88:$C$98,0)),"")</f>
        <v/>
      </c>
      <c r="O59" s="513" t="str">
        <f ca="1">Calc!C109</f>
        <v/>
      </c>
      <c r="P59" s="511" t="str">
        <f ca="1">IF(ISNUMBER(INDEX(Calc!$J$99:$J$109,MATCH(Display!O59,Calc!$C$99:$C$109,0))),INDEX(Calc!$J$99:$J$109,MATCH(Display!O59,Calc!$C$99:$C$109,0)),"")</f>
        <v/>
      </c>
    </row>
    <row r="60" spans="2:16" x14ac:dyDescent="0.2">
      <c r="B60" s="6">
        <f t="shared" si="0"/>
        <v>57</v>
      </c>
      <c r="C60" s="81" t="e">
        <f ca="1">VLOOKUP(B60,Calc!$K$66:$L$76,2,FALSE)</f>
        <v>#N/A</v>
      </c>
      <c r="D60" s="81" t="e">
        <f ca="1">VLOOKUP(B60,Calc!$K$77:$L$87,2,FALSE)</f>
        <v>#N/A</v>
      </c>
      <c r="E60" s="523" t="e">
        <f ca="1">VLOOKUP(B60,Calc!$K$88:$L$98,2,FALSE)</f>
        <v>#N/A</v>
      </c>
      <c r="F60" s="523" t="e">
        <f ca="1">IF(Errorhandling!$C$42,INDEX(Calc!$J$99:$J$109,MATCH(Display!B60,Calc!$K$99:$K$109,0),1),#N/A)</f>
        <v>#N/A</v>
      </c>
    </row>
    <row r="61" spans="2:16" x14ac:dyDescent="0.2">
      <c r="B61" s="6">
        <f t="shared" si="0"/>
        <v>58</v>
      </c>
      <c r="C61" s="81" t="e">
        <f ca="1">VLOOKUP(B61,Calc!$K$66:$L$76,2,FALSE)</f>
        <v>#N/A</v>
      </c>
      <c r="D61" s="81" t="e">
        <f ca="1">VLOOKUP(B61,Calc!$K$77:$L$87,2,FALSE)</f>
        <v>#N/A</v>
      </c>
      <c r="E61" s="523" t="e">
        <f ca="1">VLOOKUP(B61,Calc!$K$88:$L$98,2,FALSE)</f>
        <v>#N/A</v>
      </c>
      <c r="F61" s="523" t="e">
        <f ca="1">IF(Errorhandling!$C$42,INDEX(Calc!$J$99:$J$109,MATCH(Display!B61,Calc!$K$99:$K$109,0),1),#N/A)</f>
        <v>#N/A</v>
      </c>
    </row>
    <row r="62" spans="2:16" x14ac:dyDescent="0.2">
      <c r="B62" s="6">
        <f t="shared" si="0"/>
        <v>59</v>
      </c>
      <c r="C62" s="81" t="e">
        <f ca="1">VLOOKUP(B62,Calc!$K$66:$L$76,2,FALSE)</f>
        <v>#N/A</v>
      </c>
      <c r="D62" s="81" t="e">
        <f ca="1">VLOOKUP(B62,Calc!$K$77:$L$87,2,FALSE)</f>
        <v>#N/A</v>
      </c>
      <c r="E62" s="523" t="e">
        <f ca="1">VLOOKUP(B62,Calc!$K$88:$L$98,2,FALSE)</f>
        <v>#N/A</v>
      </c>
      <c r="F62" s="523" t="e">
        <f ca="1">IF(Errorhandling!$C$42,INDEX(Calc!$J$99:$J$109,MATCH(Display!B62,Calc!$K$99:$K$109,0),1),#N/A)</f>
        <v>#N/A</v>
      </c>
    </row>
    <row r="63" spans="2:16" x14ac:dyDescent="0.2">
      <c r="B63" s="6">
        <f t="shared" si="0"/>
        <v>60</v>
      </c>
      <c r="C63" s="81" t="e">
        <f ca="1">VLOOKUP(B63,Calc!$K$66:$L$76,2,FALSE)</f>
        <v>#N/A</v>
      </c>
      <c r="D63" s="81" t="e">
        <f ca="1">VLOOKUP(B63,Calc!$K$77:$L$87,2,FALSE)</f>
        <v>#N/A</v>
      </c>
      <c r="E63" s="523" t="e">
        <f ca="1">VLOOKUP(B63,Calc!$K$88:$L$98,2,FALSE)</f>
        <v>#N/A</v>
      </c>
      <c r="F63" s="523" t="e">
        <f ca="1">IF(Errorhandling!$C$42,INDEX(Calc!$J$99:$J$109,MATCH(Display!B63,Calc!$K$99:$K$109,0),1),#N/A)</f>
        <v>#N/A</v>
      </c>
      <c r="I63" s="13" t="s">
        <v>688</v>
      </c>
    </row>
    <row r="64" spans="2:16" x14ac:dyDescent="0.2">
      <c r="B64" s="6">
        <f t="shared" si="0"/>
        <v>61</v>
      </c>
      <c r="C64" s="81" t="e">
        <f ca="1">VLOOKUP(B64,Calc!$K$66:$L$76,2,FALSE)</f>
        <v>#N/A</v>
      </c>
      <c r="D64" s="81" t="e">
        <f ca="1">VLOOKUP(B64,Calc!$K$77:$L$87,2,FALSE)</f>
        <v>#N/A</v>
      </c>
      <c r="E64" s="523" t="e">
        <f ca="1">VLOOKUP(B64,Calc!$K$88:$L$98,2,FALSE)</f>
        <v>#N/A</v>
      </c>
      <c r="F64" s="523" t="e">
        <f ca="1">IF(Errorhandling!$C$42,INDEX(Calc!$J$99:$J$109,MATCH(Display!B64,Calc!$K$99:$K$109,0),1),#N/A)</f>
        <v>#N/A</v>
      </c>
    </row>
    <row r="65" spans="2:16" x14ac:dyDescent="0.2">
      <c r="B65" s="6">
        <f t="shared" si="0"/>
        <v>62</v>
      </c>
      <c r="C65" s="81" t="e">
        <f ca="1">VLOOKUP(B65,Calc!$K$66:$L$76,2,FALSE)</f>
        <v>#N/A</v>
      </c>
      <c r="D65" s="81" t="e">
        <f ca="1">VLOOKUP(B65,Calc!$K$77:$L$87,2,FALSE)</f>
        <v>#N/A</v>
      </c>
      <c r="E65" s="523" t="e">
        <f ca="1">VLOOKUP(B65,Calc!$K$88:$L$98,2,FALSE)</f>
        <v>#N/A</v>
      </c>
      <c r="F65" s="523" t="e">
        <f ca="1">IF(Errorhandling!$C$42,INDEX(Calc!$J$99:$J$109,MATCH(Display!B65,Calc!$K$99:$K$109,0),1),#N/A)</f>
        <v>#N/A</v>
      </c>
      <c r="I65" s="884" t="str">
        <f>LanguageTable!$B$22</f>
        <v>Gross data rate [Mbps]</v>
      </c>
      <c r="J65" s="869" t="str">
        <f>LanguageTable!$B$23</f>
        <v>Max. distance [m]</v>
      </c>
      <c r="K65" s="884" t="str">
        <f>LanguageTable!$B$22</f>
        <v>Gross data rate [Mbps]</v>
      </c>
      <c r="L65" s="872" t="str">
        <f>LanguageTable!$B$23</f>
        <v>Max. distance [m]</v>
      </c>
      <c r="M65" s="869" t="str">
        <f>LanguageTable!$B$22</f>
        <v>Gross data rate [Mbps]</v>
      </c>
      <c r="N65" s="872" t="str">
        <f>LanguageTable!$B$23</f>
        <v>Max. distance [m]</v>
      </c>
      <c r="O65" s="869" t="str">
        <f>LanguageTable!$B$22</f>
        <v>Gross data rate [Mbps]</v>
      </c>
      <c r="P65" s="872" t="str">
        <f>LanguageTable!$B$23</f>
        <v>Max. distance [m]</v>
      </c>
    </row>
    <row r="66" spans="2:16" x14ac:dyDescent="0.2">
      <c r="B66" s="6">
        <f t="shared" si="0"/>
        <v>63</v>
      </c>
      <c r="C66" s="81" t="e">
        <f ca="1">VLOOKUP(B66,Calc!$K$66:$L$76,2,FALSE)</f>
        <v>#N/A</v>
      </c>
      <c r="D66" s="81" t="e">
        <f ca="1">VLOOKUP(B66,Calc!$K$77:$L$87,2,FALSE)</f>
        <v>#N/A</v>
      </c>
      <c r="E66" s="523" t="e">
        <f ca="1">VLOOKUP(B66,Calc!$K$88:$L$98,2,FALSE)</f>
        <v>#N/A</v>
      </c>
      <c r="F66" s="523" t="e">
        <f ca="1">IF(Errorhandling!$C$42,INDEX(Calc!$J$99:$J$109,MATCH(Display!B66,Calc!$K$99:$K$109,0),1),#N/A)</f>
        <v>#N/A</v>
      </c>
      <c r="I66" s="885"/>
      <c r="J66" s="870"/>
      <c r="K66" s="885"/>
      <c r="L66" s="873"/>
      <c r="M66" s="870"/>
      <c r="N66" s="873"/>
      <c r="O66" s="870"/>
      <c r="P66" s="873"/>
    </row>
    <row r="67" spans="2:16" x14ac:dyDescent="0.2">
      <c r="B67" s="6">
        <f t="shared" si="0"/>
        <v>64</v>
      </c>
      <c r="C67" s="81" t="e">
        <f ca="1">VLOOKUP(B67,Calc!$K$66:$L$76,2,FALSE)</f>
        <v>#N/A</v>
      </c>
      <c r="D67" s="81" t="e">
        <f ca="1">VLOOKUP(B67,Calc!$K$77:$L$87,2,FALSE)</f>
        <v>#N/A</v>
      </c>
      <c r="E67" s="523" t="e">
        <f ca="1">VLOOKUP(B67,Calc!$K$88:$L$98,2,FALSE)</f>
        <v>#N/A</v>
      </c>
      <c r="F67" s="523" t="e">
        <f ca="1">IF(Errorhandling!$C$42,INDEX(Calc!$J$99:$J$109,MATCH(Display!B67,Calc!$K$99:$K$109,0),1),#N/A)</f>
        <v>#N/A</v>
      </c>
      <c r="I67" s="886"/>
      <c r="J67" s="871"/>
      <c r="K67" s="886"/>
      <c r="L67" s="874"/>
      <c r="M67" s="871"/>
      <c r="N67" s="874"/>
      <c r="O67" s="871"/>
      <c r="P67" s="874"/>
    </row>
    <row r="68" spans="2:16" ht="10.5" x14ac:dyDescent="0.25">
      <c r="B68" s="6">
        <f t="shared" si="0"/>
        <v>65</v>
      </c>
      <c r="C68" s="81">
        <f ca="1">VLOOKUP(B68,Calc!$K$66:$L$76,2,FALSE)</f>
        <v>489.36996435034837</v>
      </c>
      <c r="D68" s="81" t="e">
        <f ca="1">VLOOKUP(B68,Calc!$K$77:$L$87,2,FALSE)</f>
        <v>#N/A</v>
      </c>
      <c r="E68" s="523" t="e">
        <f ca="1">VLOOKUP(B68,Calc!$K$88:$L$98,2,FALSE)</f>
        <v>#N/A</v>
      </c>
      <c r="F68" s="523" t="e">
        <f ca="1">IF(Errorhandling!$C$42,INDEX(Calc!$J$99:$J$109,MATCH(Display!B68,Calc!$K$99:$K$109,0),1),#N/A)</f>
        <v>#N/A</v>
      </c>
      <c r="I68" s="805" t="s">
        <v>587</v>
      </c>
      <c r="J68" s="806"/>
      <c r="K68" s="877" t="s">
        <v>443</v>
      </c>
      <c r="L68" s="878"/>
      <c r="M68" s="879" t="s">
        <v>581</v>
      </c>
      <c r="N68" s="880"/>
      <c r="O68" s="875" t="s">
        <v>667</v>
      </c>
      <c r="P68" s="876"/>
    </row>
    <row r="69" spans="2:16" ht="12.5" x14ac:dyDescent="0.25">
      <c r="B69" s="6">
        <f t="shared" si="0"/>
        <v>66</v>
      </c>
      <c r="C69" s="81" t="e">
        <f ca="1">VLOOKUP(B69,Calc!$K$66:$L$76,2,FALSE)</f>
        <v>#N/A</v>
      </c>
      <c r="D69" s="81" t="e">
        <f ca="1">VLOOKUP(B69,Calc!$K$77:$L$87,2,FALSE)</f>
        <v>#N/A</v>
      </c>
      <c r="E69" s="523" t="e">
        <f ca="1">VLOOKUP(B69,Calc!$K$88:$L$98,2,FALSE)</f>
        <v>#N/A</v>
      </c>
      <c r="F69" s="523" t="e">
        <f ca="1">IF(Errorhandling!$C$42,INDEX(Calc!$J$99:$J$109,MATCH(Display!B69,Calc!$K$99:$K$109,0),1),#N/A)</f>
        <v>#N/A</v>
      </c>
      <c r="I69" s="691">
        <f ca="1">I49</f>
        <v>21.6</v>
      </c>
      <c r="J69" s="728">
        <f t="shared" ref="J69:P69" ca="1" si="1">J49</f>
        <v>870.23653149570634</v>
      </c>
      <c r="K69" s="691">
        <f t="shared" ca="1" si="1"/>
        <v>45</v>
      </c>
      <c r="L69" s="728">
        <f t="shared" ca="1" si="1"/>
        <v>976.421447945914</v>
      </c>
      <c r="M69" s="691">
        <f t="shared" ca="1" si="1"/>
        <v>97.5</v>
      </c>
      <c r="N69" s="728">
        <f ca="1">Calculations!K91*1000</f>
        <v>501.18723362727224</v>
      </c>
      <c r="O69" s="691">
        <f ca="1">O49/2</f>
        <v>48.75</v>
      </c>
      <c r="P69" s="692">
        <f t="shared" ca="1" si="1"/>
        <v>3.8872037990949677E-5</v>
      </c>
    </row>
    <row r="70" spans="2:16" ht="12.5" x14ac:dyDescent="0.25">
      <c r="B70" s="6">
        <f t="shared" ref="B70:B133" si="2">1+B69</f>
        <v>67</v>
      </c>
      <c r="C70" s="81" t="e">
        <f ca="1">VLOOKUP(B70,Calc!$K$66:$L$76,2,FALSE)</f>
        <v>#N/A</v>
      </c>
      <c r="D70" s="81" t="e">
        <f ca="1">VLOOKUP(B70,Calc!$K$77:$L$87,2,FALSE)</f>
        <v>#N/A</v>
      </c>
      <c r="E70" s="523" t="e">
        <f ca="1">VLOOKUP(B70,Calc!$K$88:$L$98,2,FALSE)</f>
        <v>#N/A</v>
      </c>
      <c r="F70" s="523" t="e">
        <f ca="1">IF(Errorhandling!$C$42,INDEX(Calc!$J$99:$J$109,MATCH(Display!B70,Calc!$K$99:$K$109,0),1),#N/A)</f>
        <v>#N/A</v>
      </c>
      <c r="I70" s="691">
        <f ca="1">I50</f>
        <v>43.2</v>
      </c>
      <c r="J70" s="728">
        <f t="shared" ref="J70:P70" ca="1" si="3">J50</f>
        <v>616.08028388945922</v>
      </c>
      <c r="K70" s="691">
        <f t="shared" ca="1" si="3"/>
        <v>90</v>
      </c>
      <c r="L70" s="728">
        <f t="shared" ca="1" si="3"/>
        <v>775.59912509380547</v>
      </c>
      <c r="M70" s="691">
        <f t="shared" ca="1" si="3"/>
        <v>195</v>
      </c>
      <c r="N70" s="728">
        <f ca="1">Calculations!K92*1000</f>
        <v>281.83829312644531</v>
      </c>
      <c r="O70" s="691">
        <f ca="1">O50/2</f>
        <v>97.5</v>
      </c>
      <c r="P70" s="692">
        <f t="shared" ca="1" si="3"/>
        <v>3.8872037990949677E-5</v>
      </c>
    </row>
    <row r="71" spans="2:16" ht="12.5" x14ac:dyDescent="0.25">
      <c r="B71" s="6">
        <f t="shared" si="2"/>
        <v>68</v>
      </c>
      <c r="C71" s="81" t="e">
        <f ca="1">VLOOKUP(B71,Calc!$K$66:$L$76,2,FALSE)</f>
        <v>#N/A</v>
      </c>
      <c r="D71" s="81" t="e">
        <f ca="1">VLOOKUP(B71,Calc!$K$77:$L$87,2,FALSE)</f>
        <v>#N/A</v>
      </c>
      <c r="E71" s="523" t="e">
        <f ca="1">VLOOKUP(B71,Calc!$K$88:$L$98,2,FALSE)</f>
        <v>#N/A</v>
      </c>
      <c r="F71" s="523" t="e">
        <f ca="1">IF(Errorhandling!$C$42,INDEX(Calc!$J$99:$J$109,MATCH(Display!B71,Calc!$K$99:$K$109,0),1),#N/A)</f>
        <v>#N/A</v>
      </c>
      <c r="I71" s="691">
        <f t="shared" ref="I71:P79" ca="1" si="4">I51</f>
        <v>65.099999999999994</v>
      </c>
      <c r="J71" s="728">
        <f t="shared" ca="1" si="4"/>
        <v>489.36996435034837</v>
      </c>
      <c r="K71" s="691">
        <f t="shared" ca="1" si="4"/>
        <v>135</v>
      </c>
      <c r="L71" s="728">
        <f t="shared" ca="1" si="4"/>
        <v>436.15143982172577</v>
      </c>
      <c r="M71" s="691">
        <f t="shared" ca="1" si="4"/>
        <v>292.5</v>
      </c>
      <c r="N71" s="728">
        <f ca="1">Calculations!K93*1000</f>
        <v>125.89254117941667</v>
      </c>
      <c r="O71" s="691">
        <f t="shared" ref="O71:O78" ca="1" si="5">O51/2</f>
        <v>146.25</v>
      </c>
      <c r="P71" s="692">
        <f t="shared" ca="1" si="4"/>
        <v>3.4644740326604493E-5</v>
      </c>
    </row>
    <row r="72" spans="2:16" ht="12.5" x14ac:dyDescent="0.25">
      <c r="B72" s="6">
        <f t="shared" si="2"/>
        <v>69</v>
      </c>
      <c r="C72" s="81" t="e">
        <f ca="1">VLOOKUP(B72,Calc!$K$66:$L$76,2,FALSE)</f>
        <v>#N/A</v>
      </c>
      <c r="D72" s="81" t="e">
        <f ca="1">VLOOKUP(B72,Calc!$K$77:$L$87,2,FALSE)</f>
        <v>#N/A</v>
      </c>
      <c r="E72" s="523" t="e">
        <f ca="1">VLOOKUP(B72,Calc!$K$88:$L$98,2,FALSE)</f>
        <v>#N/A</v>
      </c>
      <c r="F72" s="523" t="e">
        <f ca="1">IF(Errorhandling!$C$42,INDEX(Calc!$J$99:$J$109,MATCH(Display!B72,Calc!$K$99:$K$109,0),1),#N/A)</f>
        <v>#N/A</v>
      </c>
      <c r="I72" s="691">
        <f t="shared" ca="1" si="4"/>
        <v>86.699999999999989</v>
      </c>
      <c r="J72" s="728">
        <f t="shared" ca="1" si="4"/>
        <v>275.19295426112899</v>
      </c>
      <c r="K72" s="691">
        <f t="shared" ca="1" si="4"/>
        <v>180</v>
      </c>
      <c r="L72" s="728">
        <f t="shared" ca="1" si="4"/>
        <v>245.26597865302801</v>
      </c>
      <c r="M72" s="691">
        <f t="shared" ca="1" si="4"/>
        <v>390</v>
      </c>
      <c r="N72" s="728">
        <f ca="1">Calculations!K94*1000</f>
        <v>63.095734448019314</v>
      </c>
      <c r="O72" s="691">
        <f t="shared" ca="1" si="5"/>
        <v>195</v>
      </c>
      <c r="P72" s="692">
        <f t="shared" ca="1" si="4"/>
        <v>3.4644740326604493E-5</v>
      </c>
    </row>
    <row r="73" spans="2:16" ht="12.5" x14ac:dyDescent="0.25">
      <c r="B73" s="6">
        <f t="shared" si="2"/>
        <v>70</v>
      </c>
      <c r="C73" s="81" t="e">
        <f ca="1">VLOOKUP(B73,Calc!$K$66:$L$76,2,FALSE)</f>
        <v>#N/A</v>
      </c>
      <c r="D73" s="81" t="e">
        <f ca="1">VLOOKUP(B73,Calc!$K$77:$L$87,2,FALSE)</f>
        <v>#N/A</v>
      </c>
      <c r="E73" s="523" t="e">
        <f ca="1">VLOOKUP(B73,Calc!$K$88:$L$98,2,FALSE)</f>
        <v>#N/A</v>
      </c>
      <c r="F73" s="523" t="e">
        <f ca="1">IF(Errorhandling!$C$42,INDEX(Calc!$J$99:$J$109,MATCH(Display!B73,Calc!$K$99:$K$109,0),1),#N/A)</f>
        <v>#N/A</v>
      </c>
      <c r="I73" s="691">
        <f t="shared" ca="1" si="4"/>
        <v>129.89999999999998</v>
      </c>
      <c r="J73" s="728">
        <f t="shared" ca="1" si="4"/>
        <v>154.75237058225048</v>
      </c>
      <c r="K73" s="691">
        <f t="shared" ca="1" si="4"/>
        <v>270</v>
      </c>
      <c r="L73" s="728">
        <f t="shared" ca="1" si="4"/>
        <v>194.82169186138324</v>
      </c>
      <c r="M73" s="691">
        <f t="shared" ca="1" si="4"/>
        <v>585</v>
      </c>
      <c r="N73" s="728">
        <f ca="1">Calculations!K95*1000</f>
        <v>25.118864315095781</v>
      </c>
      <c r="O73" s="691">
        <f t="shared" ca="1" si="5"/>
        <v>292.5</v>
      </c>
      <c r="P73" s="692">
        <f t="shared" ca="1" si="4"/>
        <v>3.0877157317486264E-5</v>
      </c>
    </row>
    <row r="74" spans="2:16" ht="12.5" x14ac:dyDescent="0.25">
      <c r="B74" s="6">
        <f t="shared" si="2"/>
        <v>71</v>
      </c>
      <c r="C74" s="81" t="e">
        <f ca="1">VLOOKUP(B74,Calc!$K$66:$L$76,2,FALSE)</f>
        <v>#N/A</v>
      </c>
      <c r="D74" s="81" t="e">
        <f ca="1">VLOOKUP(B74,Calc!$K$77:$L$87,2,FALSE)</f>
        <v>#N/A</v>
      </c>
      <c r="E74" s="523" t="e">
        <f ca="1">VLOOKUP(B74,Calc!$K$88:$L$98,2,FALSE)</f>
        <v>#N/A</v>
      </c>
      <c r="F74" s="523" t="e">
        <f ca="1">IF(Errorhandling!$C$42,INDEX(Calc!$J$99:$J$109,MATCH(Display!B74,Calc!$K$99:$K$109,0),1),#N/A)</f>
        <v>#N/A</v>
      </c>
      <c r="I74" s="691">
        <f t="shared" ca="1" si="4"/>
        <v>173.39999999999998</v>
      </c>
      <c r="J74" s="728">
        <f t="shared" ca="1" si="4"/>
        <v>122.92417734399675</v>
      </c>
      <c r="K74" s="691">
        <f t="shared" ca="1" si="4"/>
        <v>360</v>
      </c>
      <c r="L74" s="728">
        <f t="shared" ca="1" si="4"/>
        <v>154.75237058225048</v>
      </c>
      <c r="M74" s="691">
        <f t="shared" ca="1" si="4"/>
        <v>780</v>
      </c>
      <c r="N74" s="728">
        <f ca="1">Calculations!K96*1000</f>
        <v>10</v>
      </c>
      <c r="O74" s="691">
        <f t="shared" ca="1" si="5"/>
        <v>390</v>
      </c>
      <c r="P74" s="692">
        <f t="shared" ca="1" si="4"/>
        <v>3.0877157317486264E-5</v>
      </c>
    </row>
    <row r="75" spans="2:16" ht="12.5" x14ac:dyDescent="0.25">
      <c r="B75" s="6">
        <f t="shared" si="2"/>
        <v>72</v>
      </c>
      <c r="C75" s="81" t="e">
        <f ca="1">VLOOKUP(B75,Calc!$K$66:$L$76,2,FALSE)</f>
        <v>#N/A</v>
      </c>
      <c r="D75" s="81" t="e">
        <f ca="1">VLOOKUP(B75,Calc!$K$77:$L$87,2,FALSE)</f>
        <v>#N/A</v>
      </c>
      <c r="E75" s="523" t="e">
        <f ca="1">VLOOKUP(B75,Calc!$K$88:$L$98,2,FALSE)</f>
        <v>#N/A</v>
      </c>
      <c r="F75" s="523" t="e">
        <f ca="1">IF(Errorhandling!$C$42,INDEX(Calc!$J$99:$J$109,MATCH(Display!B75,Calc!$K$99:$K$109,0),1),#N/A)</f>
        <v>#N/A</v>
      </c>
      <c r="I75" s="691">
        <f t="shared" ca="1" si="4"/>
        <v>195</v>
      </c>
      <c r="J75" s="728">
        <f t="shared" ca="1" si="4"/>
        <v>97.642144794591459</v>
      </c>
      <c r="K75" s="691">
        <f t="shared" ca="1" si="4"/>
        <v>405</v>
      </c>
      <c r="L75" s="728">
        <f t="shared" ca="1" si="4"/>
        <v>137.9231954598516</v>
      </c>
      <c r="M75" s="691">
        <f t="shared" ca="1" si="4"/>
        <v>877.5</v>
      </c>
      <c r="N75" s="728">
        <f ca="1">Calculations!K97*1000</f>
        <v>5.6234132519034867</v>
      </c>
      <c r="O75" s="691">
        <f t="shared" ca="1" si="5"/>
        <v>438.75</v>
      </c>
      <c r="P75" s="692">
        <f t="shared" ca="1" si="4"/>
        <v>2.7519295426112869E-5</v>
      </c>
    </row>
    <row r="76" spans="2:16" ht="12.5" x14ac:dyDescent="0.25">
      <c r="B76" s="6">
        <f t="shared" si="2"/>
        <v>73</v>
      </c>
      <c r="C76" s="81" t="e">
        <f ca="1">VLOOKUP(B76,Calc!$K$66:$L$76,2,FALSE)</f>
        <v>#N/A</v>
      </c>
      <c r="D76" s="81" t="e">
        <f ca="1">VLOOKUP(B76,Calc!$K$77:$L$87,2,FALSE)</f>
        <v>#N/A</v>
      </c>
      <c r="E76" s="523" t="e">
        <f ca="1">VLOOKUP(B76,Calc!$K$88:$L$98,2,FALSE)</f>
        <v>#N/A</v>
      </c>
      <c r="F76" s="523" t="e">
        <f ca="1">IF(Errorhandling!$C$42,INDEX(Calc!$J$99:$J$109,MATCH(Display!B76,Calc!$K$99:$K$109,0),1),#N/A)</f>
        <v>#N/A</v>
      </c>
      <c r="I76" s="691">
        <f t="shared" ca="1" si="4"/>
        <v>216.60000000000002</v>
      </c>
      <c r="J76" s="728">
        <f t="shared" ca="1" si="4"/>
        <v>69.125344785556663</v>
      </c>
      <c r="K76" s="691">
        <f t="shared" ca="1" si="4"/>
        <v>450</v>
      </c>
      <c r="L76" s="728">
        <f t="shared" ca="1" si="4"/>
        <v>77.559912509380538</v>
      </c>
      <c r="M76" s="691">
        <f t="shared" ca="1" si="4"/>
        <v>975</v>
      </c>
      <c r="N76" s="728">
        <f ca="1">Calculations!K98*1000</f>
        <v>2.8183829312644524</v>
      </c>
      <c r="O76" s="691">
        <f t="shared" ca="1" si="5"/>
        <v>487.5</v>
      </c>
      <c r="P76" s="692">
        <f t="shared" ca="1" si="4"/>
        <v>2.7519295426112869E-5</v>
      </c>
    </row>
    <row r="77" spans="2:16" ht="12.5" x14ac:dyDescent="0.25">
      <c r="B77" s="6">
        <f t="shared" si="2"/>
        <v>74</v>
      </c>
      <c r="C77" s="81" t="e">
        <f ca="1">VLOOKUP(B77,Calc!$K$66:$L$76,2,FALSE)</f>
        <v>#N/A</v>
      </c>
      <c r="D77" s="81" t="e">
        <f ca="1">VLOOKUP(B77,Calc!$K$77:$L$87,2,FALSE)</f>
        <v>#N/A</v>
      </c>
      <c r="E77" s="523" t="e">
        <f ca="1">VLOOKUP(B77,Calc!$K$88:$L$98,2,FALSE)</f>
        <v>#N/A</v>
      </c>
      <c r="F77" s="523" t="e">
        <f ca="1">IF(Errorhandling!$C$42,INDEX(Calc!$J$99:$J$109,MATCH(Display!B77,Calc!$K$99:$K$109,0),1),#N/A)</f>
        <v>#N/A</v>
      </c>
      <c r="I77" s="691" t="str">
        <f t="shared" ca="1" si="4"/>
        <v/>
      </c>
      <c r="J77" s="728" t="e">
        <f t="shared" ca="1" si="4"/>
        <v>#VALUE!</v>
      </c>
      <c r="K77" s="691" t="str">
        <f t="shared" ca="1" si="4"/>
        <v/>
      </c>
      <c r="L77" s="728" t="e">
        <f t="shared" ca="1" si="4"/>
        <v>#VALUE!</v>
      </c>
      <c r="M77" s="691">
        <f t="shared" ca="1" si="4"/>
        <v>1170</v>
      </c>
      <c r="N77" s="728">
        <f ca="1">Calculations!K99*1000</f>
        <v>1</v>
      </c>
      <c r="O77" s="691">
        <f t="shared" ca="1" si="5"/>
        <v>585</v>
      </c>
      <c r="P77" s="692">
        <f t="shared" ca="1" si="4"/>
        <v>2.4526597865302789E-5</v>
      </c>
    </row>
    <row r="78" spans="2:16" ht="12.5" x14ac:dyDescent="0.25">
      <c r="B78" s="6">
        <f t="shared" si="2"/>
        <v>75</v>
      </c>
      <c r="C78" s="81" t="e">
        <f ca="1">VLOOKUP(B78,Calc!$K$66:$L$76,2,FALSE)</f>
        <v>#N/A</v>
      </c>
      <c r="D78" s="81" t="e">
        <f ca="1">VLOOKUP(B78,Calc!$K$77:$L$87,2,FALSE)</f>
        <v>#N/A</v>
      </c>
      <c r="E78" s="523" t="e">
        <f ca="1">VLOOKUP(B78,Calc!$K$88:$L$98,2,FALSE)</f>
        <v>#N/A</v>
      </c>
      <c r="F78" s="523" t="e">
        <f ca="1">IF(Errorhandling!$C$42,INDEX(Calc!$J$99:$J$109,MATCH(Display!B78,Calc!$K$99:$K$109,0),1),#N/A)</f>
        <v>#N/A</v>
      </c>
      <c r="I78" s="691" t="str">
        <f t="shared" ca="1" si="4"/>
        <v/>
      </c>
      <c r="J78" s="691" t="str">
        <f t="shared" ca="1" si="4"/>
        <v/>
      </c>
      <c r="K78" s="691" t="str">
        <f t="shared" ca="1" si="4"/>
        <v/>
      </c>
      <c r="L78" s="728" t="e">
        <f t="shared" ca="1" si="4"/>
        <v>#VALUE!</v>
      </c>
      <c r="M78" s="691">
        <f t="shared" ca="1" si="4"/>
        <v>1299.9000000000001</v>
      </c>
      <c r="N78" s="728">
        <f ca="1">Calculations!K100*1000</f>
        <v>0.12589254117941673</v>
      </c>
      <c r="O78" s="691">
        <f t="shared" ca="1" si="5"/>
        <v>650.02500000000009</v>
      </c>
      <c r="P78" s="692">
        <f t="shared" ca="1" si="4"/>
        <v>2.1859353356680235E-5</v>
      </c>
    </row>
    <row r="79" spans="2:16" ht="12.5" x14ac:dyDescent="0.25">
      <c r="B79" s="6">
        <f t="shared" si="2"/>
        <v>76</v>
      </c>
      <c r="C79" s="81" t="e">
        <f ca="1">VLOOKUP(B79,Calc!$K$66:$L$76,2,FALSE)</f>
        <v>#N/A</v>
      </c>
      <c r="D79" s="81" t="e">
        <f ca="1">VLOOKUP(B79,Calc!$K$77:$L$87,2,FALSE)</f>
        <v>#N/A</v>
      </c>
      <c r="E79" s="523" t="e">
        <f ca="1">VLOOKUP(B79,Calc!$K$88:$L$98,2,FALSE)</f>
        <v>#N/A</v>
      </c>
      <c r="F79" s="523" t="e">
        <f ca="1">IF(Errorhandling!$C$42,INDEX(Calc!$J$99:$J$109,MATCH(Display!B79,Calc!$K$99:$K$109,0),1),#N/A)</f>
        <v>#N/A</v>
      </c>
      <c r="I79" s="693" t="str">
        <f t="shared" ca="1" si="4"/>
        <v/>
      </c>
      <c r="J79" s="693" t="str">
        <f t="shared" ca="1" si="4"/>
        <v/>
      </c>
      <c r="K79" s="693" t="str">
        <f t="shared" ca="1" si="4"/>
        <v/>
      </c>
      <c r="L79" s="729" t="str">
        <f t="shared" ca="1" si="4"/>
        <v/>
      </c>
      <c r="M79" s="693" t="str">
        <f t="shared" ca="1" si="4"/>
        <v/>
      </c>
      <c r="N79" s="693" t="str">
        <f t="shared" ca="1" si="4"/>
        <v/>
      </c>
      <c r="O79" s="693" t="str">
        <f t="shared" ca="1" si="4"/>
        <v/>
      </c>
      <c r="P79" s="693" t="str">
        <f t="shared" ca="1" si="4"/>
        <v/>
      </c>
    </row>
    <row r="80" spans="2:16" x14ac:dyDescent="0.2">
      <c r="B80" s="6">
        <f t="shared" si="2"/>
        <v>77</v>
      </c>
      <c r="C80" s="81" t="e">
        <f ca="1">VLOOKUP(B80,Calc!$K$66:$L$76,2,FALSE)</f>
        <v>#N/A</v>
      </c>
      <c r="D80" s="81" t="e">
        <f ca="1">VLOOKUP(B80,Calc!$K$77:$L$87,2,FALSE)</f>
        <v>#N/A</v>
      </c>
      <c r="E80" s="523" t="e">
        <f ca="1">VLOOKUP(B80,Calc!$K$88:$L$98,2,FALSE)</f>
        <v>#N/A</v>
      </c>
      <c r="F80" s="523" t="e">
        <f ca="1">IF(Errorhandling!$C$42,INDEX(Calc!$J$99:$J$109,MATCH(Display!B80,Calc!$K$99:$K$109,0),1),#N/A)</f>
        <v>#N/A</v>
      </c>
    </row>
    <row r="81" spans="2:6" x14ac:dyDescent="0.2">
      <c r="B81" s="6">
        <f t="shared" si="2"/>
        <v>78</v>
      </c>
      <c r="C81" s="81" t="e">
        <f ca="1">VLOOKUP(B81,Calc!$K$66:$L$76,2,FALSE)</f>
        <v>#N/A</v>
      </c>
      <c r="D81" s="81" t="e">
        <f ca="1">VLOOKUP(B81,Calc!$K$77:$L$87,2,FALSE)</f>
        <v>#N/A</v>
      </c>
      <c r="E81" s="523" t="e">
        <f ca="1">VLOOKUP(B81,Calc!$K$88:$L$98,2,FALSE)</f>
        <v>#N/A</v>
      </c>
      <c r="F81" s="523" t="e">
        <f ca="1">IF(Errorhandling!$C$42,INDEX(Calc!$J$99:$J$109,MATCH(Display!B81,Calc!$K$99:$K$109,0),1),#N/A)</f>
        <v>#N/A</v>
      </c>
    </row>
    <row r="82" spans="2:6" x14ac:dyDescent="0.2">
      <c r="B82" s="6">
        <f t="shared" si="2"/>
        <v>79</v>
      </c>
      <c r="C82" s="81" t="e">
        <f ca="1">VLOOKUP(B82,Calc!$K$66:$L$76,2,FALSE)</f>
        <v>#N/A</v>
      </c>
      <c r="D82" s="81" t="e">
        <f ca="1">VLOOKUP(B82,Calc!$K$77:$L$87,2,FALSE)</f>
        <v>#N/A</v>
      </c>
      <c r="E82" s="523" t="e">
        <f ca="1">VLOOKUP(B82,Calc!$K$88:$L$98,2,FALSE)</f>
        <v>#N/A</v>
      </c>
      <c r="F82" s="523" t="e">
        <f ca="1">IF(Errorhandling!$C$42,INDEX(Calc!$J$99:$J$109,MATCH(Display!B82,Calc!$K$99:$K$109,0),1),#N/A)</f>
        <v>#N/A</v>
      </c>
    </row>
    <row r="83" spans="2:6" x14ac:dyDescent="0.2">
      <c r="B83" s="6">
        <f t="shared" si="2"/>
        <v>80</v>
      </c>
      <c r="C83" s="81" t="e">
        <f ca="1">VLOOKUP(B83,Calc!$K$66:$L$76,2,FALSE)</f>
        <v>#N/A</v>
      </c>
      <c r="D83" s="81" t="e">
        <f ca="1">VLOOKUP(B83,Calc!$K$77:$L$87,2,FALSE)</f>
        <v>#N/A</v>
      </c>
      <c r="E83" s="523" t="e">
        <f ca="1">VLOOKUP(B83,Calc!$K$88:$L$98,2,FALSE)</f>
        <v>#N/A</v>
      </c>
      <c r="F83" s="523" t="e">
        <f ca="1">IF(Errorhandling!$C$42,INDEX(Calc!$J$99:$J$109,MATCH(Display!B83,Calc!$K$99:$K$109,0),1),#N/A)</f>
        <v>#N/A</v>
      </c>
    </row>
    <row r="84" spans="2:6" x14ac:dyDescent="0.2">
      <c r="B84" s="6">
        <f t="shared" si="2"/>
        <v>81</v>
      </c>
      <c r="C84" s="81" t="e">
        <f ca="1">VLOOKUP(B84,Calc!$K$66:$L$76,2,FALSE)</f>
        <v>#N/A</v>
      </c>
      <c r="D84" s="81" t="e">
        <f ca="1">VLOOKUP(B84,Calc!$K$77:$L$87,2,FALSE)</f>
        <v>#N/A</v>
      </c>
      <c r="E84" s="523" t="e">
        <f ca="1">VLOOKUP(B84,Calc!$K$88:$L$98,2,FALSE)</f>
        <v>#N/A</v>
      </c>
      <c r="F84" s="523" t="e">
        <f ca="1">IF(Errorhandling!$C$42,INDEX(Calc!$J$99:$J$109,MATCH(Display!B84,Calc!$K$99:$K$109,0),1),#N/A)</f>
        <v>#N/A</v>
      </c>
    </row>
    <row r="85" spans="2:6" x14ac:dyDescent="0.2">
      <c r="B85" s="6">
        <f t="shared" si="2"/>
        <v>82</v>
      </c>
      <c r="C85" s="81" t="e">
        <f ca="1">VLOOKUP(B85,Calc!$K$66:$L$76,2,FALSE)</f>
        <v>#N/A</v>
      </c>
      <c r="D85" s="81" t="e">
        <f ca="1">VLOOKUP(B85,Calc!$K$77:$L$87,2,FALSE)</f>
        <v>#N/A</v>
      </c>
      <c r="E85" s="523" t="e">
        <f ca="1">VLOOKUP(B85,Calc!$K$88:$L$98,2,FALSE)</f>
        <v>#N/A</v>
      </c>
      <c r="F85" s="523" t="e">
        <f ca="1">IF(Errorhandling!$C$42,INDEX(Calc!$J$99:$J$109,MATCH(Display!B85,Calc!$K$99:$K$109,0),1),#N/A)</f>
        <v>#N/A</v>
      </c>
    </row>
    <row r="86" spans="2:6" x14ac:dyDescent="0.2">
      <c r="B86" s="6">
        <f t="shared" si="2"/>
        <v>83</v>
      </c>
      <c r="C86" s="81" t="e">
        <f ca="1">VLOOKUP(B86,Calc!$K$66:$L$76,2,FALSE)</f>
        <v>#N/A</v>
      </c>
      <c r="D86" s="81" t="e">
        <f ca="1">VLOOKUP(B86,Calc!$K$77:$L$87,2,FALSE)</f>
        <v>#N/A</v>
      </c>
      <c r="E86" s="523" t="e">
        <f ca="1">VLOOKUP(B86,Calc!$K$88:$L$98,2,FALSE)</f>
        <v>#N/A</v>
      </c>
      <c r="F86" s="523" t="e">
        <f ca="1">IF(Errorhandling!$C$42,INDEX(Calc!$J$99:$J$109,MATCH(Display!B86,Calc!$K$99:$K$109,0),1),#N/A)</f>
        <v>#N/A</v>
      </c>
    </row>
    <row r="87" spans="2:6" x14ac:dyDescent="0.2">
      <c r="B87" s="6">
        <f t="shared" si="2"/>
        <v>84</v>
      </c>
      <c r="C87" s="81" t="e">
        <f ca="1">VLOOKUP(B87,Calc!$K$66:$L$76,2,FALSE)</f>
        <v>#N/A</v>
      </c>
      <c r="D87" s="81" t="e">
        <f ca="1">VLOOKUP(B87,Calc!$K$77:$L$87,2,FALSE)</f>
        <v>#N/A</v>
      </c>
      <c r="E87" s="523" t="e">
        <f ca="1">VLOOKUP(B87,Calc!$K$88:$L$98,2,FALSE)</f>
        <v>#N/A</v>
      </c>
      <c r="F87" s="523" t="e">
        <f ca="1">IF(Errorhandling!$C$42,INDEX(Calc!$J$99:$J$109,MATCH(Display!B87,Calc!$K$99:$K$109,0),1),#N/A)</f>
        <v>#N/A</v>
      </c>
    </row>
    <row r="88" spans="2:6" x14ac:dyDescent="0.2">
      <c r="B88" s="6">
        <f t="shared" si="2"/>
        <v>85</v>
      </c>
      <c r="C88" s="81" t="e">
        <f ca="1">VLOOKUP(B88,Calc!$K$66:$L$76,2,FALSE)</f>
        <v>#N/A</v>
      </c>
      <c r="D88" s="81" t="e">
        <f ca="1">VLOOKUP(B88,Calc!$K$77:$L$87,2,FALSE)</f>
        <v>#N/A</v>
      </c>
      <c r="E88" s="523" t="e">
        <f ca="1">VLOOKUP(B88,Calc!$K$88:$L$98,2,FALSE)</f>
        <v>#N/A</v>
      </c>
      <c r="F88" s="523" t="e">
        <f ca="1">IF(Errorhandling!$C$42,INDEX(Calc!$J$99:$J$109,MATCH(Display!B88,Calc!$K$99:$K$109,0),1),#N/A)</f>
        <v>#N/A</v>
      </c>
    </row>
    <row r="89" spans="2:6" x14ac:dyDescent="0.2">
      <c r="B89" s="6">
        <f t="shared" si="2"/>
        <v>86</v>
      </c>
      <c r="C89" s="81">
        <f ca="1">VLOOKUP(B89,Calc!$K$66:$L$76,2,FALSE)</f>
        <v>275.19295426112899</v>
      </c>
      <c r="D89" s="81" t="e">
        <f ca="1">VLOOKUP(B89,Calc!$K$77:$L$87,2,FALSE)</f>
        <v>#N/A</v>
      </c>
      <c r="E89" s="523" t="e">
        <f ca="1">VLOOKUP(B89,Calc!$K$88:$L$98,2,FALSE)</f>
        <v>#N/A</v>
      </c>
      <c r="F89" s="523" t="e">
        <f ca="1">IF(Errorhandling!$C$42,INDEX(Calc!$J$99:$J$109,MATCH(Display!B89,Calc!$K$99:$K$109,0),1),#N/A)</f>
        <v>#N/A</v>
      </c>
    </row>
    <row r="90" spans="2:6" x14ac:dyDescent="0.2">
      <c r="B90" s="6">
        <f t="shared" si="2"/>
        <v>87</v>
      </c>
      <c r="C90" s="81" t="e">
        <f ca="1">VLOOKUP(B90,Calc!$K$66:$L$76,2,FALSE)</f>
        <v>#N/A</v>
      </c>
      <c r="D90" s="81" t="e">
        <f ca="1">VLOOKUP(B90,Calc!$K$77:$L$87,2,FALSE)</f>
        <v>#N/A</v>
      </c>
      <c r="E90" s="523" t="e">
        <f ca="1">VLOOKUP(B90,Calc!$K$88:$L$98,2,FALSE)</f>
        <v>#N/A</v>
      </c>
      <c r="F90" s="523" t="e">
        <f ca="1">IF(Errorhandling!$C$42,INDEX(Calc!$J$99:$J$109,MATCH(Display!B90,Calc!$K$99:$K$109,0),1),#N/A)</f>
        <v>#N/A</v>
      </c>
    </row>
    <row r="91" spans="2:6" x14ac:dyDescent="0.2">
      <c r="B91" s="6">
        <f t="shared" si="2"/>
        <v>88</v>
      </c>
      <c r="C91" s="81" t="e">
        <f ca="1">VLOOKUP(B91,Calc!$K$66:$L$76,2,FALSE)</f>
        <v>#N/A</v>
      </c>
      <c r="D91" s="81" t="e">
        <f ca="1">VLOOKUP(B91,Calc!$K$77:$L$87,2,FALSE)</f>
        <v>#N/A</v>
      </c>
      <c r="E91" s="523" t="e">
        <f ca="1">VLOOKUP(B91,Calc!$K$88:$L$98,2,FALSE)</f>
        <v>#N/A</v>
      </c>
      <c r="F91" s="523" t="e">
        <f ca="1">IF(Errorhandling!$C$42,INDEX(Calc!$J$99:$J$109,MATCH(Display!B91,Calc!$K$99:$K$109,0),1),#N/A)</f>
        <v>#N/A</v>
      </c>
    </row>
    <row r="92" spans="2:6" x14ac:dyDescent="0.2">
      <c r="B92" s="6">
        <f t="shared" si="2"/>
        <v>89</v>
      </c>
      <c r="C92" s="81" t="e">
        <f ca="1">VLOOKUP(B92,Calc!$K$66:$L$76,2,FALSE)</f>
        <v>#N/A</v>
      </c>
      <c r="D92" s="81" t="e">
        <f ca="1">VLOOKUP(B92,Calc!$K$77:$L$87,2,FALSE)</f>
        <v>#N/A</v>
      </c>
      <c r="E92" s="523" t="e">
        <f ca="1">VLOOKUP(B92,Calc!$K$88:$L$98,2,FALSE)</f>
        <v>#N/A</v>
      </c>
      <c r="F92" s="523" t="e">
        <f ca="1">IF(Errorhandling!$C$42,INDEX(Calc!$J$99:$J$109,MATCH(Display!B92,Calc!$K$99:$K$109,0),1),#N/A)</f>
        <v>#N/A</v>
      </c>
    </row>
    <row r="93" spans="2:6" x14ac:dyDescent="0.2">
      <c r="B93" s="6">
        <f t="shared" si="2"/>
        <v>90</v>
      </c>
      <c r="C93" s="81" t="e">
        <f ca="1">VLOOKUP(B93,Calc!$K$66:$L$76,2,FALSE)</f>
        <v>#N/A</v>
      </c>
      <c r="D93" s="81">
        <f ca="1">VLOOKUP(B93,Calc!$K$77:$L$87,2,FALSE)</f>
        <v>775.59912509380547</v>
      </c>
      <c r="E93" s="523" t="e">
        <f ca="1">VLOOKUP(B93,Calc!$K$88:$L$98,2,FALSE)</f>
        <v>#N/A</v>
      </c>
      <c r="F93" s="523" t="e">
        <f ca="1">IF(Errorhandling!$C$42,INDEX(Calc!$J$99:$J$109,MATCH(Display!B93,Calc!$K$99:$K$109,0),1),#N/A)</f>
        <v>#N/A</v>
      </c>
    </row>
    <row r="94" spans="2:6" x14ac:dyDescent="0.2">
      <c r="B94" s="6">
        <f t="shared" si="2"/>
        <v>91</v>
      </c>
      <c r="C94" s="81" t="e">
        <f ca="1">VLOOKUP(B94,Calc!$K$66:$L$76,2,FALSE)</f>
        <v>#N/A</v>
      </c>
      <c r="D94" s="81" t="e">
        <f ca="1">VLOOKUP(B94,Calc!$K$77:$L$87,2,FALSE)</f>
        <v>#N/A</v>
      </c>
      <c r="E94" s="523" t="e">
        <f ca="1">VLOOKUP(B94,Calc!$K$88:$L$98,2,FALSE)</f>
        <v>#N/A</v>
      </c>
      <c r="F94" s="523" t="e">
        <f ca="1">IF(Errorhandling!$C$42,INDEX(Calc!$J$99:$J$109,MATCH(Display!B94,Calc!$K$99:$K$109,0),1),#N/A)</f>
        <v>#N/A</v>
      </c>
    </row>
    <row r="95" spans="2:6" x14ac:dyDescent="0.2">
      <c r="B95" s="6">
        <f t="shared" si="2"/>
        <v>92</v>
      </c>
      <c r="C95" s="81" t="e">
        <f ca="1">VLOOKUP(B95,Calc!$K$66:$L$76,2,FALSE)</f>
        <v>#N/A</v>
      </c>
      <c r="D95" s="81" t="e">
        <f ca="1">VLOOKUP(B95,Calc!$K$77:$L$87,2,FALSE)</f>
        <v>#N/A</v>
      </c>
      <c r="E95" s="523" t="e">
        <f ca="1">VLOOKUP(B95,Calc!$K$88:$L$98,2,FALSE)</f>
        <v>#N/A</v>
      </c>
      <c r="F95" s="523" t="e">
        <f ca="1">IF(Errorhandling!$C$42,INDEX(Calc!$J$99:$J$109,MATCH(Display!B95,Calc!$K$99:$K$109,0),1),#N/A)</f>
        <v>#N/A</v>
      </c>
    </row>
    <row r="96" spans="2:6" x14ac:dyDescent="0.2">
      <c r="B96" s="6">
        <f t="shared" si="2"/>
        <v>93</v>
      </c>
      <c r="C96" s="81" t="e">
        <f ca="1">VLOOKUP(B96,Calc!$K$66:$L$76,2,FALSE)</f>
        <v>#N/A</v>
      </c>
      <c r="D96" s="81" t="e">
        <f ca="1">VLOOKUP(B96,Calc!$K$77:$L$87,2,FALSE)</f>
        <v>#N/A</v>
      </c>
      <c r="E96" s="523" t="e">
        <f ca="1">VLOOKUP(B96,Calc!$K$88:$L$98,2,FALSE)</f>
        <v>#N/A</v>
      </c>
      <c r="F96" s="523" t="e">
        <f ca="1">IF(Errorhandling!$C$42,INDEX(Calc!$J$99:$J$109,MATCH(Display!B96,Calc!$K$99:$K$109,0),1),#N/A)</f>
        <v>#N/A</v>
      </c>
    </row>
    <row r="97" spans="2:6" x14ac:dyDescent="0.2">
      <c r="B97" s="6">
        <f t="shared" si="2"/>
        <v>94</v>
      </c>
      <c r="C97" s="81" t="e">
        <f ca="1">VLOOKUP(B97,Calc!$K$66:$L$76,2,FALSE)</f>
        <v>#N/A</v>
      </c>
      <c r="D97" s="81" t="e">
        <f ca="1">VLOOKUP(B97,Calc!$K$77:$L$87,2,FALSE)</f>
        <v>#N/A</v>
      </c>
      <c r="E97" s="523" t="e">
        <f ca="1">VLOOKUP(B97,Calc!$K$88:$L$98,2,FALSE)</f>
        <v>#N/A</v>
      </c>
      <c r="F97" s="523" t="e">
        <f ca="1">IF(Errorhandling!$C$42,INDEX(Calc!$J$99:$J$109,MATCH(Display!B97,Calc!$K$99:$K$109,0),1),#N/A)</f>
        <v>#N/A</v>
      </c>
    </row>
    <row r="98" spans="2:6" x14ac:dyDescent="0.2">
      <c r="B98" s="6">
        <f t="shared" si="2"/>
        <v>95</v>
      </c>
      <c r="C98" s="81" t="e">
        <f ca="1">VLOOKUP(B98,Calc!$K$66:$L$76,2,FALSE)</f>
        <v>#N/A</v>
      </c>
      <c r="D98" s="81" t="e">
        <f ca="1">VLOOKUP(B98,Calc!$K$77:$L$87,2,FALSE)</f>
        <v>#N/A</v>
      </c>
      <c r="E98" s="523" t="e">
        <f ca="1">VLOOKUP(B98,Calc!$K$88:$L$98,2,FALSE)</f>
        <v>#N/A</v>
      </c>
      <c r="F98" s="523" t="e">
        <f ca="1">IF(Errorhandling!$C$42,INDEX(Calc!$J$99:$J$109,MATCH(Display!B98,Calc!$K$99:$K$109,0),1),#N/A)</f>
        <v>#N/A</v>
      </c>
    </row>
    <row r="99" spans="2:6" x14ac:dyDescent="0.2">
      <c r="B99" s="6">
        <f t="shared" si="2"/>
        <v>96</v>
      </c>
      <c r="C99" s="81" t="e">
        <f ca="1">VLOOKUP(B99,Calc!$K$66:$L$76,2,FALSE)</f>
        <v>#N/A</v>
      </c>
      <c r="D99" s="81" t="e">
        <f ca="1">VLOOKUP(B99,Calc!$K$77:$L$87,2,FALSE)</f>
        <v>#N/A</v>
      </c>
      <c r="E99" s="523" t="e">
        <f ca="1">VLOOKUP(B99,Calc!$K$88:$L$98,2,FALSE)</f>
        <v>#N/A</v>
      </c>
      <c r="F99" s="523" t="e">
        <f ca="1">IF(Errorhandling!$C$42,INDEX(Calc!$J$99:$J$109,MATCH(Display!B99,Calc!$K$99:$K$109,0),1),#N/A)</f>
        <v>#N/A</v>
      </c>
    </row>
    <row r="100" spans="2:6" x14ac:dyDescent="0.2">
      <c r="B100" s="6">
        <f t="shared" si="2"/>
        <v>97</v>
      </c>
      <c r="C100" s="81" t="e">
        <f ca="1">VLOOKUP(B100,Calc!$K$66:$L$76,2,FALSE)</f>
        <v>#N/A</v>
      </c>
      <c r="D100" s="81" t="e">
        <f ca="1">VLOOKUP(B100,Calc!$K$77:$L$87,2,FALSE)</f>
        <v>#N/A</v>
      </c>
      <c r="E100" s="523">
        <f ca="1">VLOOKUP(B100,Calc!$K$88:$L$98,2,FALSE)</f>
        <v>870.23653149570634</v>
      </c>
      <c r="F100" s="523">
        <f ca="1">IF(Errorhandling!$C$42,INDEX(Calc!$J$99:$J$109,MATCH(Display!B100,Calc!$K$99:$K$109,0),1),#N/A)</f>
        <v>3.8872037990949677E-5</v>
      </c>
    </row>
    <row r="101" spans="2:6" x14ac:dyDescent="0.2">
      <c r="B101" s="6">
        <f t="shared" si="2"/>
        <v>98</v>
      </c>
      <c r="C101" s="81" t="e">
        <f ca="1">VLOOKUP(B101,Calc!$K$66:$L$76,2,FALSE)</f>
        <v>#N/A</v>
      </c>
      <c r="D101" s="81" t="e">
        <f ca="1">VLOOKUP(B101,Calc!$K$77:$L$87,2,FALSE)</f>
        <v>#N/A</v>
      </c>
      <c r="E101" s="523" t="e">
        <f ca="1">VLOOKUP(B101,Calc!$K$88:$L$98,2,FALSE)</f>
        <v>#N/A</v>
      </c>
      <c r="F101" s="523" t="e">
        <f ca="1">IF(Errorhandling!$C$42,INDEX(Calc!$J$99:$J$109,MATCH(Display!B101,Calc!$K$99:$K$109,0),1),#N/A)</f>
        <v>#N/A</v>
      </c>
    </row>
    <row r="102" spans="2:6" x14ac:dyDescent="0.2">
      <c r="B102" s="6">
        <f t="shared" si="2"/>
        <v>99</v>
      </c>
      <c r="C102" s="81" t="e">
        <f ca="1">VLOOKUP(B102,Calc!$K$66:$L$76,2,FALSE)</f>
        <v>#N/A</v>
      </c>
      <c r="D102" s="81" t="e">
        <f ca="1">VLOOKUP(B102,Calc!$K$77:$L$87,2,FALSE)</f>
        <v>#N/A</v>
      </c>
      <c r="E102" s="523" t="e">
        <f ca="1">VLOOKUP(B102,Calc!$K$88:$L$98,2,FALSE)</f>
        <v>#N/A</v>
      </c>
      <c r="F102" s="523" t="e">
        <f ca="1">IF(Errorhandling!$C$42,INDEX(Calc!$J$99:$J$109,MATCH(Display!B102,Calc!$K$99:$K$109,0),1),#N/A)</f>
        <v>#N/A</v>
      </c>
    </row>
    <row r="103" spans="2:6" x14ac:dyDescent="0.2">
      <c r="B103" s="6">
        <f t="shared" si="2"/>
        <v>100</v>
      </c>
      <c r="C103" s="81" t="e">
        <f ca="1">VLOOKUP(B103,Calc!$K$66:$L$76,2,FALSE)</f>
        <v>#N/A</v>
      </c>
      <c r="D103" s="81" t="e">
        <f ca="1">VLOOKUP(B103,Calc!$K$77:$L$87,2,FALSE)</f>
        <v>#N/A</v>
      </c>
      <c r="E103" s="523" t="e">
        <f ca="1">VLOOKUP(B103,Calc!$K$88:$L$98,2,FALSE)</f>
        <v>#N/A</v>
      </c>
      <c r="F103" s="523" t="e">
        <f ca="1">IF(Errorhandling!$C$42,INDEX(Calc!$J$99:$J$109,MATCH(Display!B103,Calc!$K$99:$K$109,0),1),#N/A)</f>
        <v>#N/A</v>
      </c>
    </row>
    <row r="104" spans="2:6" x14ac:dyDescent="0.2">
      <c r="B104" s="6">
        <f t="shared" si="2"/>
        <v>101</v>
      </c>
      <c r="C104" s="81" t="e">
        <f ca="1">VLOOKUP(B104,Calc!$K$66:$L$76,2,FALSE)</f>
        <v>#N/A</v>
      </c>
      <c r="D104" s="81" t="e">
        <f ca="1">VLOOKUP(B104,Calc!$K$77:$L$87,2,FALSE)</f>
        <v>#N/A</v>
      </c>
      <c r="E104" s="523" t="e">
        <f ca="1">VLOOKUP(B104,Calc!$K$88:$L$98,2,FALSE)</f>
        <v>#N/A</v>
      </c>
      <c r="F104" s="523" t="e">
        <f ca="1">IF(Errorhandling!$C$42,INDEX(Calc!$J$99:$J$109,MATCH(Display!B104,Calc!$K$99:$K$109,0),1),#N/A)</f>
        <v>#N/A</v>
      </c>
    </row>
    <row r="105" spans="2:6" x14ac:dyDescent="0.2">
      <c r="B105" s="6">
        <f t="shared" si="2"/>
        <v>102</v>
      </c>
      <c r="C105" s="81" t="e">
        <f ca="1">VLOOKUP(B105,Calc!$K$66:$L$76,2,FALSE)</f>
        <v>#N/A</v>
      </c>
      <c r="D105" s="81" t="e">
        <f ca="1">VLOOKUP(B105,Calc!$K$77:$L$87,2,FALSE)</f>
        <v>#N/A</v>
      </c>
      <c r="E105" s="523" t="e">
        <f ca="1">VLOOKUP(B105,Calc!$K$88:$L$98,2,FALSE)</f>
        <v>#N/A</v>
      </c>
      <c r="F105" s="523" t="e">
        <f ca="1">IF(Errorhandling!$C$42,INDEX(Calc!$J$99:$J$109,MATCH(Display!B105,Calc!$K$99:$K$109,0),1),#N/A)</f>
        <v>#N/A</v>
      </c>
    </row>
    <row r="106" spans="2:6" x14ac:dyDescent="0.2">
      <c r="B106" s="6">
        <f t="shared" si="2"/>
        <v>103</v>
      </c>
      <c r="C106" s="81" t="e">
        <f ca="1">VLOOKUP(B106,Calc!$K$66:$L$76,2,FALSE)</f>
        <v>#N/A</v>
      </c>
      <c r="D106" s="81" t="e">
        <f ca="1">VLOOKUP(B106,Calc!$K$77:$L$87,2,FALSE)</f>
        <v>#N/A</v>
      </c>
      <c r="E106" s="523" t="e">
        <f ca="1">VLOOKUP(B106,Calc!$K$88:$L$98,2,FALSE)</f>
        <v>#N/A</v>
      </c>
      <c r="F106" s="523" t="e">
        <f ca="1">IF(Errorhandling!$C$42,INDEX(Calc!$J$99:$J$109,MATCH(Display!B106,Calc!$K$99:$K$109,0),1),#N/A)</f>
        <v>#N/A</v>
      </c>
    </row>
    <row r="107" spans="2:6" x14ac:dyDescent="0.2">
      <c r="B107" s="6">
        <f t="shared" si="2"/>
        <v>104</v>
      </c>
      <c r="C107" s="81" t="e">
        <f ca="1">VLOOKUP(B107,Calc!$K$66:$L$76,2,FALSE)</f>
        <v>#N/A</v>
      </c>
      <c r="D107" s="81" t="e">
        <f ca="1">VLOOKUP(B107,Calc!$K$77:$L$87,2,FALSE)</f>
        <v>#N/A</v>
      </c>
      <c r="E107" s="523" t="e">
        <f ca="1">VLOOKUP(B107,Calc!$K$88:$L$98,2,FALSE)</f>
        <v>#N/A</v>
      </c>
      <c r="F107" s="523" t="e">
        <f ca="1">IF(Errorhandling!$C$42,INDEX(Calc!$J$99:$J$109,MATCH(Display!B107,Calc!$K$99:$K$109,0),1),#N/A)</f>
        <v>#N/A</v>
      </c>
    </row>
    <row r="108" spans="2:6" x14ac:dyDescent="0.2">
      <c r="B108" s="6">
        <f t="shared" si="2"/>
        <v>105</v>
      </c>
      <c r="C108" s="81" t="e">
        <f ca="1">VLOOKUP(B108,Calc!$K$66:$L$76,2,FALSE)</f>
        <v>#N/A</v>
      </c>
      <c r="D108" s="81" t="e">
        <f ca="1">VLOOKUP(B108,Calc!$K$77:$L$87,2,FALSE)</f>
        <v>#N/A</v>
      </c>
      <c r="E108" s="523" t="e">
        <f ca="1">VLOOKUP(B108,Calc!$K$88:$L$98,2,FALSE)</f>
        <v>#N/A</v>
      </c>
      <c r="F108" s="523" t="e">
        <f ca="1">IF(Errorhandling!$C$42,INDEX(Calc!$J$99:$J$109,MATCH(Display!B108,Calc!$K$99:$K$109,0),1),#N/A)</f>
        <v>#N/A</v>
      </c>
    </row>
    <row r="109" spans="2:6" x14ac:dyDescent="0.2">
      <c r="B109" s="6">
        <f t="shared" si="2"/>
        <v>106</v>
      </c>
      <c r="C109" s="81" t="e">
        <f ca="1">VLOOKUP(B109,Calc!$K$66:$L$76,2,FALSE)</f>
        <v>#N/A</v>
      </c>
      <c r="D109" s="81" t="e">
        <f ca="1">VLOOKUP(B109,Calc!$K$77:$L$87,2,FALSE)</f>
        <v>#N/A</v>
      </c>
      <c r="E109" s="523" t="e">
        <f ca="1">VLOOKUP(B109,Calc!$K$88:$L$98,2,FALSE)</f>
        <v>#N/A</v>
      </c>
      <c r="F109" s="523" t="e">
        <f ca="1">IF(Errorhandling!$C$42,INDEX(Calc!$J$99:$J$109,MATCH(Display!B109,Calc!$K$99:$K$109,0),1),#N/A)</f>
        <v>#N/A</v>
      </c>
    </row>
    <row r="110" spans="2:6" x14ac:dyDescent="0.2">
      <c r="B110" s="6">
        <f t="shared" si="2"/>
        <v>107</v>
      </c>
      <c r="C110" s="81" t="e">
        <f ca="1">VLOOKUP(B110,Calc!$K$66:$L$76,2,FALSE)</f>
        <v>#N/A</v>
      </c>
      <c r="D110" s="81" t="e">
        <f ca="1">VLOOKUP(B110,Calc!$K$77:$L$87,2,FALSE)</f>
        <v>#N/A</v>
      </c>
      <c r="E110" s="523" t="e">
        <f ca="1">VLOOKUP(B110,Calc!$K$88:$L$98,2,FALSE)</f>
        <v>#N/A</v>
      </c>
      <c r="F110" s="523" t="e">
        <f ca="1">IF(Errorhandling!$C$42,INDEX(Calc!$J$99:$J$109,MATCH(Display!B110,Calc!$K$99:$K$109,0),1),#N/A)</f>
        <v>#N/A</v>
      </c>
    </row>
    <row r="111" spans="2:6" x14ac:dyDescent="0.2">
      <c r="B111" s="6">
        <f t="shared" si="2"/>
        <v>108</v>
      </c>
      <c r="C111" s="81" t="e">
        <f ca="1">VLOOKUP(B111,Calc!$K$66:$L$76,2,FALSE)</f>
        <v>#N/A</v>
      </c>
      <c r="D111" s="81" t="e">
        <f ca="1">VLOOKUP(B111,Calc!$K$77:$L$87,2,FALSE)</f>
        <v>#N/A</v>
      </c>
      <c r="E111" s="523" t="e">
        <f ca="1">VLOOKUP(B111,Calc!$K$88:$L$98,2,FALSE)</f>
        <v>#N/A</v>
      </c>
      <c r="F111" s="523" t="e">
        <f ca="1">IF(Errorhandling!$C$42,INDEX(Calc!$J$99:$J$109,MATCH(Display!B111,Calc!$K$99:$K$109,0),1),#N/A)</f>
        <v>#N/A</v>
      </c>
    </row>
    <row r="112" spans="2:6" x14ac:dyDescent="0.2">
      <c r="B112" s="6">
        <f t="shared" si="2"/>
        <v>109</v>
      </c>
      <c r="C112" s="81" t="e">
        <f ca="1">VLOOKUP(B112,Calc!$K$66:$L$76,2,FALSE)</f>
        <v>#N/A</v>
      </c>
      <c r="D112" s="81" t="e">
        <f ca="1">VLOOKUP(B112,Calc!$K$77:$L$87,2,FALSE)</f>
        <v>#N/A</v>
      </c>
      <c r="E112" s="523" t="e">
        <f ca="1">VLOOKUP(B112,Calc!$K$88:$L$98,2,FALSE)</f>
        <v>#N/A</v>
      </c>
      <c r="F112" s="523" t="e">
        <f ca="1">IF(Errorhandling!$C$42,INDEX(Calc!$J$99:$J$109,MATCH(Display!B112,Calc!$K$99:$K$109,0),1),#N/A)</f>
        <v>#N/A</v>
      </c>
    </row>
    <row r="113" spans="1:6" x14ac:dyDescent="0.2">
      <c r="B113" s="6">
        <f t="shared" si="2"/>
        <v>110</v>
      </c>
      <c r="C113" s="81" t="e">
        <f ca="1">VLOOKUP(B113,Calc!$K$66:$L$76,2,FALSE)</f>
        <v>#N/A</v>
      </c>
      <c r="D113" s="81" t="e">
        <f ca="1">VLOOKUP(B113,Calc!$K$77:$L$87,2,FALSE)</f>
        <v>#N/A</v>
      </c>
      <c r="E113" s="523" t="e">
        <f ca="1">VLOOKUP(B113,Calc!$K$88:$L$98,2,FALSE)</f>
        <v>#N/A</v>
      </c>
      <c r="F113" s="523" t="e">
        <f ca="1">IF(Errorhandling!$C$42,INDEX(Calc!$J$99:$J$109,MATCH(Display!B113,Calc!$K$99:$K$109,0),1),#N/A)</f>
        <v>#N/A</v>
      </c>
    </row>
    <row r="114" spans="1:6" x14ac:dyDescent="0.2">
      <c r="A114" s="24"/>
      <c r="B114" s="6">
        <f t="shared" si="2"/>
        <v>111</v>
      </c>
      <c r="C114" s="81" t="e">
        <f ca="1">VLOOKUP(B114,Calc!$K$66:$L$76,2,FALSE)</f>
        <v>#N/A</v>
      </c>
      <c r="D114" s="81" t="e">
        <f ca="1">VLOOKUP(B114,Calc!$K$77:$L$87,2,FALSE)</f>
        <v>#N/A</v>
      </c>
      <c r="E114" s="523" t="e">
        <f ca="1">VLOOKUP(B114,Calc!$K$88:$L$98,2,FALSE)</f>
        <v>#N/A</v>
      </c>
      <c r="F114" s="523" t="e">
        <f ca="1">IF(Errorhandling!$C$42,INDEX(Calc!$J$99:$J$109,MATCH(Display!B114,Calc!$K$99:$K$109,0),1),#N/A)</f>
        <v>#N/A</v>
      </c>
    </row>
    <row r="115" spans="1:6" x14ac:dyDescent="0.2">
      <c r="A115" s="24"/>
      <c r="B115" s="6">
        <f t="shared" si="2"/>
        <v>112</v>
      </c>
      <c r="C115" s="81" t="e">
        <f ca="1">VLOOKUP(B115,Calc!$K$66:$L$76,2,FALSE)</f>
        <v>#N/A</v>
      </c>
      <c r="D115" s="81" t="e">
        <f ca="1">VLOOKUP(B115,Calc!$K$77:$L$87,2,FALSE)</f>
        <v>#N/A</v>
      </c>
      <c r="E115" s="523" t="e">
        <f ca="1">VLOOKUP(B115,Calc!$K$88:$L$98,2,FALSE)</f>
        <v>#N/A</v>
      </c>
      <c r="F115" s="523" t="e">
        <f ca="1">IF(Errorhandling!$C$42,INDEX(Calc!$J$99:$J$109,MATCH(Display!B115,Calc!$K$99:$K$109,0),1),#N/A)</f>
        <v>#N/A</v>
      </c>
    </row>
    <row r="116" spans="1:6" x14ac:dyDescent="0.2">
      <c r="A116" s="24"/>
      <c r="B116" s="6">
        <f t="shared" si="2"/>
        <v>113</v>
      </c>
      <c r="C116" s="81" t="e">
        <f ca="1">VLOOKUP(B116,Calc!$K$66:$L$76,2,FALSE)</f>
        <v>#N/A</v>
      </c>
      <c r="D116" s="81" t="e">
        <f ca="1">VLOOKUP(B116,Calc!$K$77:$L$87,2,FALSE)</f>
        <v>#N/A</v>
      </c>
      <c r="E116" s="523" t="e">
        <f ca="1">VLOOKUP(B116,Calc!$K$88:$L$98,2,FALSE)</f>
        <v>#N/A</v>
      </c>
      <c r="F116" s="523" t="e">
        <f ca="1">IF(Errorhandling!$C$42,INDEX(Calc!$J$99:$J$109,MATCH(Display!B116,Calc!$K$99:$K$109,0),1),#N/A)</f>
        <v>#N/A</v>
      </c>
    </row>
    <row r="117" spans="1:6" x14ac:dyDescent="0.2">
      <c r="A117" s="24"/>
      <c r="B117" s="6">
        <f t="shared" si="2"/>
        <v>114</v>
      </c>
      <c r="C117" s="81" t="e">
        <f ca="1">VLOOKUP(B117,Calc!$K$66:$L$76,2,FALSE)</f>
        <v>#N/A</v>
      </c>
      <c r="D117" s="81" t="e">
        <f ca="1">VLOOKUP(B117,Calc!$K$77:$L$87,2,FALSE)</f>
        <v>#N/A</v>
      </c>
      <c r="E117" s="523" t="e">
        <f ca="1">VLOOKUP(B117,Calc!$K$88:$L$98,2,FALSE)</f>
        <v>#N/A</v>
      </c>
      <c r="F117" s="523" t="e">
        <f ca="1">IF(Errorhandling!$C$42,INDEX(Calc!$J$99:$J$109,MATCH(Display!B117,Calc!$K$99:$K$109,0),1),#N/A)</f>
        <v>#N/A</v>
      </c>
    </row>
    <row r="118" spans="1:6" x14ac:dyDescent="0.2">
      <c r="A118" s="24"/>
      <c r="B118" s="6">
        <f t="shared" si="2"/>
        <v>115</v>
      </c>
      <c r="C118" s="81" t="e">
        <f ca="1">VLOOKUP(B118,Calc!$K$66:$L$76,2,FALSE)</f>
        <v>#N/A</v>
      </c>
      <c r="D118" s="81" t="e">
        <f ca="1">VLOOKUP(B118,Calc!$K$77:$L$87,2,FALSE)</f>
        <v>#N/A</v>
      </c>
      <c r="E118" s="523" t="e">
        <f ca="1">VLOOKUP(B118,Calc!$K$88:$L$98,2,FALSE)</f>
        <v>#N/A</v>
      </c>
      <c r="F118" s="523" t="e">
        <f ca="1">IF(Errorhandling!$C$42,INDEX(Calc!$J$99:$J$109,MATCH(Display!B118,Calc!$K$99:$K$109,0),1),#N/A)</f>
        <v>#N/A</v>
      </c>
    </row>
    <row r="119" spans="1:6" x14ac:dyDescent="0.2">
      <c r="A119" s="24"/>
      <c r="B119" s="6">
        <f t="shared" si="2"/>
        <v>116</v>
      </c>
      <c r="C119" s="81" t="e">
        <f ca="1">VLOOKUP(B119,Calc!$K$66:$L$76,2,FALSE)</f>
        <v>#N/A</v>
      </c>
      <c r="D119" s="81" t="e">
        <f ca="1">VLOOKUP(B119,Calc!$K$77:$L$87,2,FALSE)</f>
        <v>#N/A</v>
      </c>
      <c r="E119" s="523" t="e">
        <f ca="1">VLOOKUP(B119,Calc!$K$88:$L$98,2,FALSE)</f>
        <v>#N/A</v>
      </c>
      <c r="F119" s="523" t="e">
        <f ca="1">IF(Errorhandling!$C$42,INDEX(Calc!$J$99:$J$109,MATCH(Display!B119,Calc!$K$99:$K$109,0),1),#N/A)</f>
        <v>#N/A</v>
      </c>
    </row>
    <row r="120" spans="1:6" x14ac:dyDescent="0.2">
      <c r="A120" s="24"/>
      <c r="B120" s="6">
        <f t="shared" si="2"/>
        <v>117</v>
      </c>
      <c r="C120" s="81" t="e">
        <f ca="1">VLOOKUP(B120,Calc!$K$66:$L$76,2,FALSE)</f>
        <v>#N/A</v>
      </c>
      <c r="D120" s="81" t="e">
        <f ca="1">VLOOKUP(B120,Calc!$K$77:$L$87,2,FALSE)</f>
        <v>#N/A</v>
      </c>
      <c r="E120" s="523" t="e">
        <f ca="1">VLOOKUP(B120,Calc!$K$88:$L$98,2,FALSE)</f>
        <v>#N/A</v>
      </c>
      <c r="F120" s="523" t="e">
        <f ca="1">IF(Errorhandling!$C$42,INDEX(Calc!$J$99:$J$109,MATCH(Display!B120,Calc!$K$99:$K$109,0),1),#N/A)</f>
        <v>#N/A</v>
      </c>
    </row>
    <row r="121" spans="1:6" x14ac:dyDescent="0.2">
      <c r="A121" s="24"/>
      <c r="B121" s="6">
        <f t="shared" si="2"/>
        <v>118</v>
      </c>
      <c r="C121" s="81" t="e">
        <f ca="1">VLOOKUP(B121,Calc!$K$66:$L$76,2,FALSE)</f>
        <v>#N/A</v>
      </c>
      <c r="D121" s="81" t="e">
        <f ca="1">VLOOKUP(B121,Calc!$K$77:$L$87,2,FALSE)</f>
        <v>#N/A</v>
      </c>
      <c r="E121" s="523" t="e">
        <f ca="1">VLOOKUP(B121,Calc!$K$88:$L$98,2,FALSE)</f>
        <v>#N/A</v>
      </c>
      <c r="F121" s="523" t="e">
        <f ca="1">IF(Errorhandling!$C$42,INDEX(Calc!$J$99:$J$109,MATCH(Display!B121,Calc!$K$99:$K$109,0),1),#N/A)</f>
        <v>#N/A</v>
      </c>
    </row>
    <row r="122" spans="1:6" x14ac:dyDescent="0.2">
      <c r="A122" s="24"/>
      <c r="B122" s="6">
        <f t="shared" si="2"/>
        <v>119</v>
      </c>
      <c r="C122" s="81" t="e">
        <f ca="1">VLOOKUP(B122,Calc!$K$66:$L$76,2,FALSE)</f>
        <v>#N/A</v>
      </c>
      <c r="D122" s="81" t="e">
        <f ca="1">VLOOKUP(B122,Calc!$K$77:$L$87,2,FALSE)</f>
        <v>#N/A</v>
      </c>
      <c r="E122" s="523" t="e">
        <f ca="1">VLOOKUP(B122,Calc!$K$88:$L$98,2,FALSE)</f>
        <v>#N/A</v>
      </c>
      <c r="F122" s="523" t="e">
        <f ca="1">IF(Errorhandling!$C$42,INDEX(Calc!$J$99:$J$109,MATCH(Display!B122,Calc!$K$99:$K$109,0),1),#N/A)</f>
        <v>#N/A</v>
      </c>
    </row>
    <row r="123" spans="1:6" x14ac:dyDescent="0.2">
      <c r="A123" s="24"/>
      <c r="B123" s="6">
        <f t="shared" si="2"/>
        <v>120</v>
      </c>
      <c r="C123" s="81" t="e">
        <f ca="1">VLOOKUP(B123,Calc!$K$66:$L$76,2,FALSE)</f>
        <v>#N/A</v>
      </c>
      <c r="D123" s="81" t="e">
        <f ca="1">VLOOKUP(B123,Calc!$K$77:$L$87,2,FALSE)</f>
        <v>#N/A</v>
      </c>
      <c r="E123" s="523" t="e">
        <f ca="1">VLOOKUP(B123,Calc!$K$88:$L$98,2,FALSE)</f>
        <v>#N/A</v>
      </c>
      <c r="F123" s="523" t="e">
        <f ca="1">IF(Errorhandling!$C$42,INDEX(Calc!$J$99:$J$109,MATCH(Display!B123,Calc!$K$99:$K$109,0),1),#N/A)</f>
        <v>#N/A</v>
      </c>
    </row>
    <row r="124" spans="1:6" x14ac:dyDescent="0.2">
      <c r="A124" s="24"/>
      <c r="B124" s="6">
        <f t="shared" si="2"/>
        <v>121</v>
      </c>
      <c r="C124" s="81" t="e">
        <f ca="1">VLOOKUP(B124,Calc!$K$66:$L$76,2,FALSE)</f>
        <v>#N/A</v>
      </c>
      <c r="D124" s="81" t="e">
        <f ca="1">VLOOKUP(B124,Calc!$K$77:$L$87,2,FALSE)</f>
        <v>#N/A</v>
      </c>
      <c r="E124" s="523" t="e">
        <f ca="1">VLOOKUP(B124,Calc!$K$88:$L$98,2,FALSE)</f>
        <v>#N/A</v>
      </c>
      <c r="F124" s="523" t="e">
        <f ca="1">IF(Errorhandling!$C$42,INDEX(Calc!$J$99:$J$109,MATCH(Display!B124,Calc!$K$99:$K$109,0),1),#N/A)</f>
        <v>#N/A</v>
      </c>
    </row>
    <row r="125" spans="1:6" x14ac:dyDescent="0.2">
      <c r="A125" s="24"/>
      <c r="B125" s="6">
        <f t="shared" si="2"/>
        <v>122</v>
      </c>
      <c r="C125" s="81" t="e">
        <f ca="1">VLOOKUP(B125,Calc!$K$66:$L$76,2,FALSE)</f>
        <v>#N/A</v>
      </c>
      <c r="D125" s="81" t="e">
        <f ca="1">VLOOKUP(B125,Calc!$K$77:$L$87,2,FALSE)</f>
        <v>#N/A</v>
      </c>
      <c r="E125" s="523" t="e">
        <f ca="1">VLOOKUP(B125,Calc!$K$88:$L$98,2,FALSE)</f>
        <v>#N/A</v>
      </c>
      <c r="F125" s="523" t="e">
        <f ca="1">IF(Errorhandling!$C$42,INDEX(Calc!$J$99:$J$109,MATCH(Display!B125,Calc!$K$99:$K$109,0),1),#N/A)</f>
        <v>#N/A</v>
      </c>
    </row>
    <row r="126" spans="1:6" x14ac:dyDescent="0.2">
      <c r="A126" s="24"/>
      <c r="B126" s="6">
        <f t="shared" si="2"/>
        <v>123</v>
      </c>
      <c r="C126" s="81" t="e">
        <f ca="1">VLOOKUP(B126,Calc!$K$66:$L$76,2,FALSE)</f>
        <v>#N/A</v>
      </c>
      <c r="D126" s="81" t="e">
        <f ca="1">VLOOKUP(B126,Calc!$K$77:$L$87,2,FALSE)</f>
        <v>#N/A</v>
      </c>
      <c r="E126" s="523" t="e">
        <f ca="1">VLOOKUP(B126,Calc!$K$88:$L$98,2,FALSE)</f>
        <v>#N/A</v>
      </c>
      <c r="F126" s="523" t="e">
        <f ca="1">IF(Errorhandling!$C$42,INDEX(Calc!$J$99:$J$109,MATCH(Display!B126,Calc!$K$99:$K$109,0),1),#N/A)</f>
        <v>#N/A</v>
      </c>
    </row>
    <row r="127" spans="1:6" x14ac:dyDescent="0.2">
      <c r="A127" s="24"/>
      <c r="B127" s="6">
        <f t="shared" si="2"/>
        <v>124</v>
      </c>
      <c r="C127" s="81" t="e">
        <f ca="1">VLOOKUP(B127,Calc!$K$66:$L$76,2,FALSE)</f>
        <v>#N/A</v>
      </c>
      <c r="D127" s="81" t="e">
        <f ca="1">VLOOKUP(B127,Calc!$K$77:$L$87,2,FALSE)</f>
        <v>#N/A</v>
      </c>
      <c r="E127" s="523" t="e">
        <f ca="1">VLOOKUP(B127,Calc!$K$88:$L$98,2,FALSE)</f>
        <v>#N/A</v>
      </c>
      <c r="F127" s="523" t="e">
        <f ca="1">IF(Errorhandling!$C$42,INDEX(Calc!$J$99:$J$109,MATCH(Display!B127,Calc!$K$99:$K$109,0),1),#N/A)</f>
        <v>#N/A</v>
      </c>
    </row>
    <row r="128" spans="1:6" x14ac:dyDescent="0.2">
      <c r="A128" s="24"/>
      <c r="B128" s="6">
        <f t="shared" si="2"/>
        <v>125</v>
      </c>
      <c r="C128" s="81" t="e">
        <f ca="1">VLOOKUP(B128,Calc!$K$66:$L$76,2,FALSE)</f>
        <v>#N/A</v>
      </c>
      <c r="D128" s="81" t="e">
        <f ca="1">VLOOKUP(B128,Calc!$K$77:$L$87,2,FALSE)</f>
        <v>#N/A</v>
      </c>
      <c r="E128" s="523" t="e">
        <f ca="1">VLOOKUP(B128,Calc!$K$88:$L$98,2,FALSE)</f>
        <v>#N/A</v>
      </c>
      <c r="F128" s="523" t="e">
        <f ca="1">IF(Errorhandling!$C$42,INDEX(Calc!$J$99:$J$109,MATCH(Display!B128,Calc!$K$99:$K$109,0),1),#N/A)</f>
        <v>#N/A</v>
      </c>
    </row>
    <row r="129" spans="1:6" x14ac:dyDescent="0.2">
      <c r="A129" s="24"/>
      <c r="B129" s="6">
        <f t="shared" si="2"/>
        <v>126</v>
      </c>
      <c r="C129" s="81" t="e">
        <f ca="1">VLOOKUP(B129,Calc!$K$66:$L$76,2,FALSE)</f>
        <v>#N/A</v>
      </c>
      <c r="D129" s="81" t="e">
        <f ca="1">VLOOKUP(B129,Calc!$K$77:$L$87,2,FALSE)</f>
        <v>#N/A</v>
      </c>
      <c r="E129" s="523" t="e">
        <f ca="1">VLOOKUP(B129,Calc!$K$88:$L$98,2,FALSE)</f>
        <v>#N/A</v>
      </c>
      <c r="F129" s="523" t="e">
        <f ca="1">IF(Errorhandling!$C$42,INDEX(Calc!$J$99:$J$109,MATCH(Display!B129,Calc!$K$99:$K$109,0),1),#N/A)</f>
        <v>#N/A</v>
      </c>
    </row>
    <row r="130" spans="1:6" x14ac:dyDescent="0.2">
      <c r="A130" s="24"/>
      <c r="B130" s="6">
        <f t="shared" si="2"/>
        <v>127</v>
      </c>
      <c r="C130" s="81" t="e">
        <f ca="1">VLOOKUP(B130,Calc!$K$66:$L$76,2,FALSE)</f>
        <v>#N/A</v>
      </c>
      <c r="D130" s="81" t="e">
        <f ca="1">VLOOKUP(B130,Calc!$K$77:$L$87,2,FALSE)</f>
        <v>#N/A</v>
      </c>
      <c r="E130" s="523" t="e">
        <f ca="1">VLOOKUP(B130,Calc!$K$88:$L$98,2,FALSE)</f>
        <v>#N/A</v>
      </c>
      <c r="F130" s="523" t="e">
        <f ca="1">IF(Errorhandling!$C$42,INDEX(Calc!$J$99:$J$109,MATCH(Display!B130,Calc!$K$99:$K$109,0),1),#N/A)</f>
        <v>#N/A</v>
      </c>
    </row>
    <row r="131" spans="1:6" x14ac:dyDescent="0.2">
      <c r="A131" s="24"/>
      <c r="B131" s="6">
        <f t="shared" si="2"/>
        <v>128</v>
      </c>
      <c r="C131" s="81" t="e">
        <f ca="1">VLOOKUP(B131,Calc!$K$66:$L$76,2,FALSE)</f>
        <v>#N/A</v>
      </c>
      <c r="D131" s="81" t="e">
        <f ca="1">VLOOKUP(B131,Calc!$K$77:$L$87,2,FALSE)</f>
        <v>#N/A</v>
      </c>
      <c r="E131" s="523" t="e">
        <f ca="1">VLOOKUP(B131,Calc!$K$88:$L$98,2,FALSE)</f>
        <v>#N/A</v>
      </c>
      <c r="F131" s="523" t="e">
        <f ca="1">IF(Errorhandling!$C$42,INDEX(Calc!$J$99:$J$109,MATCH(Display!B131,Calc!$K$99:$K$109,0),1),#N/A)</f>
        <v>#N/A</v>
      </c>
    </row>
    <row r="132" spans="1:6" x14ac:dyDescent="0.2">
      <c r="A132" s="24"/>
      <c r="B132" s="6">
        <f t="shared" si="2"/>
        <v>129</v>
      </c>
      <c r="C132" s="81">
        <f ca="1">VLOOKUP(B132,Calc!$K$66:$L$76,2,FALSE)</f>
        <v>154.75237058225048</v>
      </c>
      <c r="D132" s="81" t="e">
        <f ca="1">VLOOKUP(B132,Calc!$K$77:$L$87,2,FALSE)</f>
        <v>#N/A</v>
      </c>
      <c r="E132" s="523" t="e">
        <f ca="1">VLOOKUP(B132,Calc!$K$88:$L$98,2,FALSE)</f>
        <v>#N/A</v>
      </c>
      <c r="F132" s="523" t="e">
        <f ca="1">IF(Errorhandling!$C$42,INDEX(Calc!$J$99:$J$109,MATCH(Display!B132,Calc!$K$99:$K$109,0),1),#N/A)</f>
        <v>#N/A</v>
      </c>
    </row>
    <row r="133" spans="1:6" x14ac:dyDescent="0.2">
      <c r="A133" s="24"/>
      <c r="B133" s="6">
        <f t="shared" si="2"/>
        <v>130</v>
      </c>
      <c r="C133" s="81" t="e">
        <f ca="1">VLOOKUP(B133,Calc!$K$66:$L$76,2,FALSE)</f>
        <v>#N/A</v>
      </c>
      <c r="D133" s="81" t="e">
        <f ca="1">VLOOKUP(B133,Calc!$K$77:$L$87,2,FALSE)</f>
        <v>#N/A</v>
      </c>
      <c r="E133" s="523" t="e">
        <f ca="1">VLOOKUP(B133,Calc!$K$88:$L$98,2,FALSE)</f>
        <v>#N/A</v>
      </c>
      <c r="F133" s="523" t="e">
        <f ca="1">IF(Errorhandling!$C$42,INDEX(Calc!$J$99:$J$109,MATCH(Display!B133,Calc!$K$99:$K$109,0),1),#N/A)</f>
        <v>#N/A</v>
      </c>
    </row>
    <row r="134" spans="1:6" x14ac:dyDescent="0.2">
      <c r="A134" s="24"/>
      <c r="B134" s="6">
        <f t="shared" ref="B134:B197" si="6">1+B133</f>
        <v>131</v>
      </c>
      <c r="C134" s="81" t="e">
        <f ca="1">VLOOKUP(B134,Calc!$K$66:$L$76,2,FALSE)</f>
        <v>#N/A</v>
      </c>
      <c r="D134" s="81" t="e">
        <f ca="1">VLOOKUP(B134,Calc!$K$77:$L$87,2,FALSE)</f>
        <v>#N/A</v>
      </c>
      <c r="E134" s="523" t="e">
        <f ca="1">VLOOKUP(B134,Calc!$K$88:$L$98,2,FALSE)</f>
        <v>#N/A</v>
      </c>
      <c r="F134" s="523" t="e">
        <f ca="1">IF(Errorhandling!$C$42,INDEX(Calc!$J$99:$J$109,MATCH(Display!B134,Calc!$K$99:$K$109,0),1),#N/A)</f>
        <v>#N/A</v>
      </c>
    </row>
    <row r="135" spans="1:6" x14ac:dyDescent="0.2">
      <c r="A135" s="24"/>
      <c r="B135" s="6">
        <f t="shared" si="6"/>
        <v>132</v>
      </c>
      <c r="C135" s="81" t="e">
        <f ca="1">VLOOKUP(B135,Calc!$K$66:$L$76,2,FALSE)</f>
        <v>#N/A</v>
      </c>
      <c r="D135" s="81" t="e">
        <f ca="1">VLOOKUP(B135,Calc!$K$77:$L$87,2,FALSE)</f>
        <v>#N/A</v>
      </c>
      <c r="E135" s="523" t="e">
        <f ca="1">VLOOKUP(B135,Calc!$K$88:$L$98,2,FALSE)</f>
        <v>#N/A</v>
      </c>
      <c r="F135" s="523" t="e">
        <f ca="1">IF(Errorhandling!$C$42,INDEX(Calc!$J$99:$J$109,MATCH(Display!B135,Calc!$K$99:$K$109,0),1),#N/A)</f>
        <v>#N/A</v>
      </c>
    </row>
    <row r="136" spans="1:6" x14ac:dyDescent="0.2">
      <c r="A136" s="24"/>
      <c r="B136" s="6">
        <f t="shared" si="6"/>
        <v>133</v>
      </c>
      <c r="C136" s="81" t="e">
        <f ca="1">VLOOKUP(B136,Calc!$K$66:$L$76,2,FALSE)</f>
        <v>#N/A</v>
      </c>
      <c r="D136" s="81" t="e">
        <f ca="1">VLOOKUP(B136,Calc!$K$77:$L$87,2,FALSE)</f>
        <v>#N/A</v>
      </c>
      <c r="E136" s="523" t="e">
        <f ca="1">VLOOKUP(B136,Calc!$K$88:$L$98,2,FALSE)</f>
        <v>#N/A</v>
      </c>
      <c r="F136" s="523" t="e">
        <f ca="1">IF(Errorhandling!$C$42,INDEX(Calc!$J$99:$J$109,MATCH(Display!B136,Calc!$K$99:$K$109,0),1),#N/A)</f>
        <v>#N/A</v>
      </c>
    </row>
    <row r="137" spans="1:6" x14ac:dyDescent="0.2">
      <c r="A137" s="24"/>
      <c r="B137" s="6">
        <f t="shared" si="6"/>
        <v>134</v>
      </c>
      <c r="C137" s="81" t="e">
        <f ca="1">VLOOKUP(B137,Calc!$K$66:$L$76,2,FALSE)</f>
        <v>#N/A</v>
      </c>
      <c r="D137" s="81" t="e">
        <f ca="1">VLOOKUP(B137,Calc!$K$77:$L$87,2,FALSE)</f>
        <v>#N/A</v>
      </c>
      <c r="E137" s="523" t="e">
        <f ca="1">VLOOKUP(B137,Calc!$K$88:$L$98,2,FALSE)</f>
        <v>#N/A</v>
      </c>
      <c r="F137" s="523" t="e">
        <f ca="1">IF(Errorhandling!$C$42,INDEX(Calc!$J$99:$J$109,MATCH(Display!B137,Calc!$K$99:$K$109,0),1),#N/A)</f>
        <v>#N/A</v>
      </c>
    </row>
    <row r="138" spans="1:6" x14ac:dyDescent="0.2">
      <c r="A138" s="24"/>
      <c r="B138" s="6">
        <f t="shared" si="6"/>
        <v>135</v>
      </c>
      <c r="C138" s="81" t="e">
        <f ca="1">VLOOKUP(B138,Calc!$K$66:$L$76,2,FALSE)</f>
        <v>#N/A</v>
      </c>
      <c r="D138" s="81">
        <f ca="1">VLOOKUP(B138,Calc!$K$77:$L$87,2,FALSE)</f>
        <v>436.15143982172577</v>
      </c>
      <c r="E138" s="523" t="e">
        <f ca="1">VLOOKUP(B138,Calc!$K$88:$L$98,2,FALSE)</f>
        <v>#N/A</v>
      </c>
      <c r="F138" s="523" t="e">
        <f ca="1">IF(Errorhandling!$C$42,INDEX(Calc!$J$99:$J$109,MATCH(Display!B138,Calc!$K$99:$K$109,0),1),#N/A)</f>
        <v>#N/A</v>
      </c>
    </row>
    <row r="139" spans="1:6" x14ac:dyDescent="0.2">
      <c r="A139" s="24"/>
      <c r="B139" s="6">
        <f t="shared" si="6"/>
        <v>136</v>
      </c>
      <c r="C139" s="81" t="e">
        <f ca="1">VLOOKUP(B139,Calc!$K$66:$L$76,2,FALSE)</f>
        <v>#N/A</v>
      </c>
      <c r="D139" s="81" t="e">
        <f ca="1">VLOOKUP(B139,Calc!$K$77:$L$87,2,FALSE)</f>
        <v>#N/A</v>
      </c>
      <c r="E139" s="523" t="e">
        <f ca="1">VLOOKUP(B139,Calc!$K$88:$L$98,2,FALSE)</f>
        <v>#N/A</v>
      </c>
      <c r="F139" s="523" t="e">
        <f ca="1">IF(Errorhandling!$C$42,INDEX(Calc!$J$99:$J$109,MATCH(Display!B139,Calc!$K$99:$K$109,0),1),#N/A)</f>
        <v>#N/A</v>
      </c>
    </row>
    <row r="140" spans="1:6" x14ac:dyDescent="0.2">
      <c r="A140" s="24"/>
      <c r="B140" s="6">
        <f t="shared" si="6"/>
        <v>137</v>
      </c>
      <c r="C140" s="81" t="e">
        <f ca="1">VLOOKUP(B140,Calc!$K$66:$L$76,2,FALSE)</f>
        <v>#N/A</v>
      </c>
      <c r="D140" s="81" t="e">
        <f ca="1">VLOOKUP(B140,Calc!$K$77:$L$87,2,FALSE)</f>
        <v>#N/A</v>
      </c>
      <c r="E140" s="523" t="e">
        <f ca="1">VLOOKUP(B140,Calc!$K$88:$L$98,2,FALSE)</f>
        <v>#N/A</v>
      </c>
      <c r="F140" s="523" t="e">
        <f ca="1">IF(Errorhandling!$C$42,INDEX(Calc!$J$99:$J$109,MATCH(Display!B140,Calc!$K$99:$K$109,0),1),#N/A)</f>
        <v>#N/A</v>
      </c>
    </row>
    <row r="141" spans="1:6" x14ac:dyDescent="0.2">
      <c r="A141" s="24"/>
      <c r="B141" s="6">
        <f t="shared" si="6"/>
        <v>138</v>
      </c>
      <c r="C141" s="81" t="e">
        <f ca="1">VLOOKUP(B141,Calc!$K$66:$L$76,2,FALSE)</f>
        <v>#N/A</v>
      </c>
      <c r="D141" s="81" t="e">
        <f ca="1">VLOOKUP(B141,Calc!$K$77:$L$87,2,FALSE)</f>
        <v>#N/A</v>
      </c>
      <c r="E141" s="523" t="e">
        <f ca="1">VLOOKUP(B141,Calc!$K$88:$L$98,2,FALSE)</f>
        <v>#N/A</v>
      </c>
      <c r="F141" s="523" t="e">
        <f ca="1">IF(Errorhandling!$C$42,INDEX(Calc!$J$99:$J$109,MATCH(Display!B141,Calc!$K$99:$K$109,0),1),#N/A)</f>
        <v>#N/A</v>
      </c>
    </row>
    <row r="142" spans="1:6" x14ac:dyDescent="0.2">
      <c r="A142" s="24"/>
      <c r="B142" s="6">
        <f t="shared" si="6"/>
        <v>139</v>
      </c>
      <c r="C142" s="81" t="e">
        <f ca="1">VLOOKUP(B142,Calc!$K$66:$L$76,2,FALSE)</f>
        <v>#N/A</v>
      </c>
      <c r="D142" s="81" t="e">
        <f ca="1">VLOOKUP(B142,Calc!$K$77:$L$87,2,FALSE)</f>
        <v>#N/A</v>
      </c>
      <c r="E142" s="523" t="e">
        <f ca="1">VLOOKUP(B142,Calc!$K$88:$L$98,2,FALSE)</f>
        <v>#N/A</v>
      </c>
      <c r="F142" s="523" t="e">
        <f ca="1">IF(Errorhandling!$C$42,INDEX(Calc!$J$99:$J$109,MATCH(Display!B142,Calc!$K$99:$K$109,0),1),#N/A)</f>
        <v>#N/A</v>
      </c>
    </row>
    <row r="143" spans="1:6" x14ac:dyDescent="0.2">
      <c r="A143" s="24"/>
      <c r="B143" s="6">
        <f t="shared" si="6"/>
        <v>140</v>
      </c>
      <c r="C143" s="81" t="e">
        <f ca="1">VLOOKUP(B143,Calc!$K$66:$L$76,2,FALSE)</f>
        <v>#N/A</v>
      </c>
      <c r="D143" s="81" t="e">
        <f ca="1">VLOOKUP(B143,Calc!$K$77:$L$87,2,FALSE)</f>
        <v>#N/A</v>
      </c>
      <c r="E143" s="523" t="e">
        <f ca="1">VLOOKUP(B143,Calc!$K$88:$L$98,2,FALSE)</f>
        <v>#N/A</v>
      </c>
      <c r="F143" s="523" t="e">
        <f ca="1">IF(Errorhandling!$C$42,INDEX(Calc!$J$99:$J$109,MATCH(Display!B143,Calc!$K$99:$K$109,0),1),#N/A)</f>
        <v>#N/A</v>
      </c>
    </row>
    <row r="144" spans="1:6" x14ac:dyDescent="0.2">
      <c r="A144" s="24"/>
      <c r="B144" s="6">
        <f t="shared" si="6"/>
        <v>141</v>
      </c>
      <c r="C144" s="81" t="e">
        <f ca="1">VLOOKUP(B144,Calc!$K$66:$L$76,2,FALSE)</f>
        <v>#N/A</v>
      </c>
      <c r="D144" s="81" t="e">
        <f ca="1">VLOOKUP(B144,Calc!$K$77:$L$87,2,FALSE)</f>
        <v>#N/A</v>
      </c>
      <c r="E144" s="523" t="e">
        <f ca="1">VLOOKUP(B144,Calc!$K$88:$L$98,2,FALSE)</f>
        <v>#N/A</v>
      </c>
      <c r="F144" s="523" t="e">
        <f ca="1">IF(Errorhandling!$C$42,INDEX(Calc!$J$99:$J$109,MATCH(Display!B144,Calc!$K$99:$K$109,0),1),#N/A)</f>
        <v>#N/A</v>
      </c>
    </row>
    <row r="145" spans="1:6" x14ac:dyDescent="0.2">
      <c r="A145" s="24"/>
      <c r="B145" s="6">
        <f t="shared" si="6"/>
        <v>142</v>
      </c>
      <c r="C145" s="81" t="e">
        <f ca="1">VLOOKUP(B145,Calc!$K$66:$L$76,2,FALSE)</f>
        <v>#N/A</v>
      </c>
      <c r="D145" s="81" t="e">
        <f ca="1">VLOOKUP(B145,Calc!$K$77:$L$87,2,FALSE)</f>
        <v>#N/A</v>
      </c>
      <c r="E145" s="523" t="e">
        <f ca="1">VLOOKUP(B145,Calc!$K$88:$L$98,2,FALSE)</f>
        <v>#N/A</v>
      </c>
      <c r="F145" s="523" t="e">
        <f ca="1">IF(Errorhandling!$C$42,INDEX(Calc!$J$99:$J$109,MATCH(Display!B145,Calc!$K$99:$K$109,0),1),#N/A)</f>
        <v>#N/A</v>
      </c>
    </row>
    <row r="146" spans="1:6" x14ac:dyDescent="0.2">
      <c r="A146" s="24"/>
      <c r="B146" s="6">
        <f t="shared" si="6"/>
        <v>143</v>
      </c>
      <c r="C146" s="81" t="e">
        <f ca="1">VLOOKUP(B146,Calc!$K$66:$L$76,2,FALSE)</f>
        <v>#N/A</v>
      </c>
      <c r="D146" s="81" t="e">
        <f ca="1">VLOOKUP(B146,Calc!$K$77:$L$87,2,FALSE)</f>
        <v>#N/A</v>
      </c>
      <c r="E146" s="523" t="e">
        <f ca="1">VLOOKUP(B146,Calc!$K$88:$L$98,2,FALSE)</f>
        <v>#N/A</v>
      </c>
      <c r="F146" s="523" t="e">
        <f ca="1">IF(Errorhandling!$C$42,INDEX(Calc!$J$99:$J$109,MATCH(Display!B146,Calc!$K$99:$K$109,0),1),#N/A)</f>
        <v>#N/A</v>
      </c>
    </row>
    <row r="147" spans="1:6" x14ac:dyDescent="0.2">
      <c r="A147" s="24"/>
      <c r="B147" s="6">
        <f t="shared" si="6"/>
        <v>144</v>
      </c>
      <c r="C147" s="81" t="e">
        <f ca="1">VLOOKUP(B147,Calc!$K$66:$L$76,2,FALSE)</f>
        <v>#N/A</v>
      </c>
      <c r="D147" s="81" t="e">
        <f ca="1">VLOOKUP(B147,Calc!$K$77:$L$87,2,FALSE)</f>
        <v>#N/A</v>
      </c>
      <c r="E147" s="523" t="e">
        <f ca="1">VLOOKUP(B147,Calc!$K$88:$L$98,2,FALSE)</f>
        <v>#N/A</v>
      </c>
      <c r="F147" s="523" t="e">
        <f ca="1">IF(Errorhandling!$C$42,INDEX(Calc!$J$99:$J$109,MATCH(Display!B147,Calc!$K$99:$K$109,0),1),#N/A)</f>
        <v>#N/A</v>
      </c>
    </row>
    <row r="148" spans="1:6" x14ac:dyDescent="0.2">
      <c r="A148" s="24"/>
      <c r="B148" s="6">
        <f t="shared" si="6"/>
        <v>145</v>
      </c>
      <c r="C148" s="81" t="e">
        <f ca="1">VLOOKUP(B148,Calc!$K$66:$L$76,2,FALSE)</f>
        <v>#N/A</v>
      </c>
      <c r="D148" s="81" t="e">
        <f ca="1">VLOOKUP(B148,Calc!$K$77:$L$87,2,FALSE)</f>
        <v>#N/A</v>
      </c>
      <c r="E148" s="523" t="e">
        <f ca="1">VLOOKUP(B148,Calc!$K$88:$L$98,2,FALSE)</f>
        <v>#N/A</v>
      </c>
      <c r="F148" s="523" t="e">
        <f ca="1">IF(Errorhandling!$C$42,INDEX(Calc!$J$99:$J$109,MATCH(Display!B148,Calc!$K$99:$K$109,0),1),#N/A)</f>
        <v>#N/A</v>
      </c>
    </row>
    <row r="149" spans="1:6" x14ac:dyDescent="0.2">
      <c r="A149" s="24"/>
      <c r="B149" s="6">
        <f t="shared" si="6"/>
        <v>146</v>
      </c>
      <c r="C149" s="81" t="e">
        <f ca="1">VLOOKUP(B149,Calc!$K$66:$L$76,2,FALSE)</f>
        <v>#N/A</v>
      </c>
      <c r="D149" s="81" t="e">
        <f ca="1">VLOOKUP(B149,Calc!$K$77:$L$87,2,FALSE)</f>
        <v>#N/A</v>
      </c>
      <c r="E149" s="523" t="e">
        <f ca="1">VLOOKUP(B149,Calc!$K$88:$L$98,2,FALSE)</f>
        <v>#N/A</v>
      </c>
      <c r="F149" s="523" t="e">
        <f ca="1">IF(Errorhandling!$C$42,INDEX(Calc!$J$99:$J$109,MATCH(Display!B149,Calc!$K$99:$K$109,0),1),#N/A)</f>
        <v>#N/A</v>
      </c>
    </row>
    <row r="150" spans="1:6" x14ac:dyDescent="0.2">
      <c r="A150" s="24"/>
      <c r="B150" s="6">
        <f t="shared" si="6"/>
        <v>147</v>
      </c>
      <c r="C150" s="81" t="e">
        <f ca="1">VLOOKUP(B150,Calc!$K$66:$L$76,2,FALSE)</f>
        <v>#N/A</v>
      </c>
      <c r="D150" s="81" t="e">
        <f ca="1">VLOOKUP(B150,Calc!$K$77:$L$87,2,FALSE)</f>
        <v>#N/A</v>
      </c>
      <c r="E150" s="523" t="e">
        <f ca="1">VLOOKUP(B150,Calc!$K$88:$L$98,2,FALSE)</f>
        <v>#N/A</v>
      </c>
      <c r="F150" s="523" t="e">
        <f ca="1">IF(Errorhandling!$C$42,INDEX(Calc!$J$99:$J$109,MATCH(Display!B150,Calc!$K$99:$K$109,0),1),#N/A)</f>
        <v>#N/A</v>
      </c>
    </row>
    <row r="151" spans="1:6" x14ac:dyDescent="0.2">
      <c r="A151" s="24"/>
      <c r="B151" s="6">
        <f t="shared" si="6"/>
        <v>148</v>
      </c>
      <c r="C151" s="81" t="e">
        <f ca="1">VLOOKUP(B151,Calc!$K$66:$L$76,2,FALSE)</f>
        <v>#N/A</v>
      </c>
      <c r="D151" s="81" t="e">
        <f ca="1">VLOOKUP(B151,Calc!$K$77:$L$87,2,FALSE)</f>
        <v>#N/A</v>
      </c>
      <c r="E151" s="523" t="e">
        <f ca="1">VLOOKUP(B151,Calc!$K$88:$L$98,2,FALSE)</f>
        <v>#N/A</v>
      </c>
      <c r="F151" s="523" t="e">
        <f ca="1">IF(Errorhandling!$C$42,INDEX(Calc!$J$99:$J$109,MATCH(Display!B151,Calc!$K$99:$K$109,0),1),#N/A)</f>
        <v>#N/A</v>
      </c>
    </row>
    <row r="152" spans="1:6" x14ac:dyDescent="0.2">
      <c r="A152" s="24"/>
      <c r="B152" s="6">
        <f t="shared" si="6"/>
        <v>149</v>
      </c>
      <c r="C152" s="81" t="e">
        <f ca="1">VLOOKUP(B152,Calc!$K$66:$L$76,2,FALSE)</f>
        <v>#N/A</v>
      </c>
      <c r="D152" s="81" t="e">
        <f ca="1">VLOOKUP(B152,Calc!$K$77:$L$87,2,FALSE)</f>
        <v>#N/A</v>
      </c>
      <c r="E152" s="523" t="e">
        <f ca="1">VLOOKUP(B152,Calc!$K$88:$L$98,2,FALSE)</f>
        <v>#N/A</v>
      </c>
      <c r="F152" s="523" t="e">
        <f ca="1">IF(Errorhandling!$C$42,INDEX(Calc!$J$99:$J$109,MATCH(Display!B152,Calc!$K$99:$K$109,0),1),#N/A)</f>
        <v>#N/A</v>
      </c>
    </row>
    <row r="153" spans="1:6" x14ac:dyDescent="0.2">
      <c r="A153" s="24"/>
      <c r="B153" s="6">
        <f t="shared" si="6"/>
        <v>150</v>
      </c>
      <c r="C153" s="81" t="e">
        <f ca="1">VLOOKUP(B153,Calc!$K$66:$L$76,2,FALSE)</f>
        <v>#N/A</v>
      </c>
      <c r="D153" s="81" t="e">
        <f ca="1">VLOOKUP(B153,Calc!$K$77:$L$87,2,FALSE)</f>
        <v>#N/A</v>
      </c>
      <c r="E153" s="523" t="e">
        <f ca="1">VLOOKUP(B153,Calc!$K$88:$L$98,2,FALSE)</f>
        <v>#N/A</v>
      </c>
      <c r="F153" s="523" t="e">
        <f ca="1">IF(Errorhandling!$C$42,INDEX(Calc!$J$99:$J$109,MATCH(Display!B153,Calc!$K$99:$K$109,0),1),#N/A)</f>
        <v>#N/A</v>
      </c>
    </row>
    <row r="154" spans="1:6" x14ac:dyDescent="0.2">
      <c r="A154" s="24"/>
      <c r="B154" s="6">
        <f t="shared" si="6"/>
        <v>151</v>
      </c>
      <c r="C154" s="81" t="e">
        <f ca="1">VLOOKUP(B154,Calc!$K$66:$L$76,2,FALSE)</f>
        <v>#N/A</v>
      </c>
      <c r="D154" s="81" t="e">
        <f ca="1">VLOOKUP(B154,Calc!$K$77:$L$87,2,FALSE)</f>
        <v>#N/A</v>
      </c>
      <c r="E154" s="523" t="e">
        <f ca="1">VLOOKUP(B154,Calc!$K$88:$L$98,2,FALSE)</f>
        <v>#N/A</v>
      </c>
      <c r="F154" s="523" t="e">
        <f ca="1">IF(Errorhandling!$C$42,INDEX(Calc!$J$99:$J$109,MATCH(Display!B154,Calc!$K$99:$K$109,0),1),#N/A)</f>
        <v>#N/A</v>
      </c>
    </row>
    <row r="155" spans="1:6" x14ac:dyDescent="0.2">
      <c r="B155" s="6">
        <f t="shared" si="6"/>
        <v>152</v>
      </c>
      <c r="C155" s="81" t="e">
        <f ca="1">VLOOKUP(B155,Calc!$K$66:$L$76,2,FALSE)</f>
        <v>#N/A</v>
      </c>
      <c r="D155" s="81" t="e">
        <f ca="1">VLOOKUP(B155,Calc!$K$77:$L$87,2,FALSE)</f>
        <v>#N/A</v>
      </c>
      <c r="E155" s="523" t="e">
        <f ca="1">VLOOKUP(B155,Calc!$K$88:$L$98,2,FALSE)</f>
        <v>#N/A</v>
      </c>
      <c r="F155" s="523" t="e">
        <f ca="1">IF(Errorhandling!$C$42,INDEX(Calc!$J$99:$J$109,MATCH(Display!B155,Calc!$K$99:$K$109,0),1),#N/A)</f>
        <v>#N/A</v>
      </c>
    </row>
    <row r="156" spans="1:6" x14ac:dyDescent="0.2">
      <c r="B156" s="6">
        <f t="shared" si="6"/>
        <v>153</v>
      </c>
      <c r="C156" s="81" t="e">
        <f ca="1">VLOOKUP(B156,Calc!$K$66:$L$76,2,FALSE)</f>
        <v>#N/A</v>
      </c>
      <c r="D156" s="81" t="e">
        <f ca="1">VLOOKUP(B156,Calc!$K$77:$L$87,2,FALSE)</f>
        <v>#N/A</v>
      </c>
      <c r="E156" s="523" t="e">
        <f ca="1">VLOOKUP(B156,Calc!$K$88:$L$98,2,FALSE)</f>
        <v>#N/A</v>
      </c>
      <c r="F156" s="523" t="e">
        <f ca="1">IF(Errorhandling!$C$42,INDEX(Calc!$J$99:$J$109,MATCH(Display!B156,Calc!$K$99:$K$109,0),1),#N/A)</f>
        <v>#N/A</v>
      </c>
    </row>
    <row r="157" spans="1:6" x14ac:dyDescent="0.2">
      <c r="B157" s="6">
        <f t="shared" si="6"/>
        <v>154</v>
      </c>
      <c r="C157" s="81" t="e">
        <f ca="1">VLOOKUP(B157,Calc!$K$66:$L$76,2,FALSE)</f>
        <v>#N/A</v>
      </c>
      <c r="D157" s="81" t="e">
        <f ca="1">VLOOKUP(B157,Calc!$K$77:$L$87,2,FALSE)</f>
        <v>#N/A</v>
      </c>
      <c r="E157" s="523" t="e">
        <f ca="1">VLOOKUP(B157,Calc!$K$88:$L$98,2,FALSE)</f>
        <v>#N/A</v>
      </c>
      <c r="F157" s="523" t="e">
        <f ca="1">IF(Errorhandling!$C$42,INDEX(Calc!$J$99:$J$109,MATCH(Display!B157,Calc!$K$99:$K$109,0),1),#N/A)</f>
        <v>#N/A</v>
      </c>
    </row>
    <row r="158" spans="1:6" x14ac:dyDescent="0.2">
      <c r="B158" s="6">
        <f t="shared" si="6"/>
        <v>155</v>
      </c>
      <c r="C158" s="81" t="e">
        <f ca="1">VLOOKUP(B158,Calc!$K$66:$L$76,2,FALSE)</f>
        <v>#N/A</v>
      </c>
      <c r="D158" s="81" t="e">
        <f ca="1">VLOOKUP(B158,Calc!$K$77:$L$87,2,FALSE)</f>
        <v>#N/A</v>
      </c>
      <c r="E158" s="523" t="e">
        <f ca="1">VLOOKUP(B158,Calc!$K$88:$L$98,2,FALSE)</f>
        <v>#N/A</v>
      </c>
      <c r="F158" s="523" t="e">
        <f ca="1">IF(Errorhandling!$C$42,INDEX(Calc!$J$99:$J$109,MATCH(Display!B158,Calc!$K$99:$K$109,0),1),#N/A)</f>
        <v>#N/A</v>
      </c>
    </row>
    <row r="159" spans="1:6" x14ac:dyDescent="0.2">
      <c r="B159" s="6">
        <f t="shared" si="6"/>
        <v>156</v>
      </c>
      <c r="C159" s="81" t="e">
        <f ca="1">VLOOKUP(B159,Calc!$K$66:$L$76,2,FALSE)</f>
        <v>#N/A</v>
      </c>
      <c r="D159" s="81" t="e">
        <f ca="1">VLOOKUP(B159,Calc!$K$77:$L$87,2,FALSE)</f>
        <v>#N/A</v>
      </c>
      <c r="E159" s="523" t="e">
        <f ca="1">VLOOKUP(B159,Calc!$K$88:$L$98,2,FALSE)</f>
        <v>#N/A</v>
      </c>
      <c r="F159" s="523" t="e">
        <f ca="1">IF(Errorhandling!$C$42,INDEX(Calc!$J$99:$J$109,MATCH(Display!B159,Calc!$K$99:$K$109,0),1),#N/A)</f>
        <v>#N/A</v>
      </c>
    </row>
    <row r="160" spans="1:6" x14ac:dyDescent="0.2">
      <c r="B160" s="6">
        <f t="shared" si="6"/>
        <v>157</v>
      </c>
      <c r="C160" s="81" t="e">
        <f ca="1">VLOOKUP(B160,Calc!$K$66:$L$76,2,FALSE)</f>
        <v>#N/A</v>
      </c>
      <c r="D160" s="81" t="e">
        <f ca="1">VLOOKUP(B160,Calc!$K$77:$L$87,2,FALSE)</f>
        <v>#N/A</v>
      </c>
      <c r="E160" s="523" t="e">
        <f ca="1">VLOOKUP(B160,Calc!$K$88:$L$98,2,FALSE)</f>
        <v>#N/A</v>
      </c>
      <c r="F160" s="523" t="e">
        <f ca="1">IF(Errorhandling!$C$42,INDEX(Calc!$J$99:$J$109,MATCH(Display!B160,Calc!$K$99:$K$109,0),1),#N/A)</f>
        <v>#N/A</v>
      </c>
    </row>
    <row r="161" spans="2:6" x14ac:dyDescent="0.2">
      <c r="B161" s="6">
        <f t="shared" si="6"/>
        <v>158</v>
      </c>
      <c r="C161" s="81" t="e">
        <f ca="1">VLOOKUP(B161,Calc!$K$66:$L$76,2,FALSE)</f>
        <v>#N/A</v>
      </c>
      <c r="D161" s="81" t="e">
        <f ca="1">VLOOKUP(B161,Calc!$K$77:$L$87,2,FALSE)</f>
        <v>#N/A</v>
      </c>
      <c r="E161" s="523" t="e">
        <f ca="1">VLOOKUP(B161,Calc!$K$88:$L$98,2,FALSE)</f>
        <v>#N/A</v>
      </c>
      <c r="F161" s="523" t="e">
        <f ca="1">IF(Errorhandling!$C$42,INDEX(Calc!$J$99:$J$109,MATCH(Display!B161,Calc!$K$99:$K$109,0),1),#N/A)</f>
        <v>#N/A</v>
      </c>
    </row>
    <row r="162" spans="2:6" x14ac:dyDescent="0.2">
      <c r="B162" s="6">
        <f t="shared" si="6"/>
        <v>159</v>
      </c>
      <c r="C162" s="81" t="e">
        <f ca="1">VLOOKUP(B162,Calc!$K$66:$L$76,2,FALSE)</f>
        <v>#N/A</v>
      </c>
      <c r="D162" s="81" t="e">
        <f ca="1">VLOOKUP(B162,Calc!$K$77:$L$87,2,FALSE)</f>
        <v>#N/A</v>
      </c>
      <c r="E162" s="523" t="e">
        <f ca="1">VLOOKUP(B162,Calc!$K$88:$L$98,2,FALSE)</f>
        <v>#N/A</v>
      </c>
      <c r="F162" s="523" t="e">
        <f ca="1">IF(Errorhandling!$C$42,INDEX(Calc!$J$99:$J$109,MATCH(Display!B162,Calc!$K$99:$K$109,0),1),#N/A)</f>
        <v>#N/A</v>
      </c>
    </row>
    <row r="163" spans="2:6" x14ac:dyDescent="0.2">
      <c r="B163" s="6">
        <f t="shared" si="6"/>
        <v>160</v>
      </c>
      <c r="C163" s="81" t="e">
        <f ca="1">VLOOKUP(B163,Calc!$K$66:$L$76,2,FALSE)</f>
        <v>#N/A</v>
      </c>
      <c r="D163" s="81" t="e">
        <f ca="1">VLOOKUP(B163,Calc!$K$77:$L$87,2,FALSE)</f>
        <v>#N/A</v>
      </c>
      <c r="E163" s="523" t="e">
        <f ca="1">VLOOKUP(B163,Calc!$K$88:$L$98,2,FALSE)</f>
        <v>#N/A</v>
      </c>
      <c r="F163" s="523" t="e">
        <f ca="1">IF(Errorhandling!$C$42,INDEX(Calc!$J$99:$J$109,MATCH(Display!B163,Calc!$K$99:$K$109,0),1),#N/A)</f>
        <v>#N/A</v>
      </c>
    </row>
    <row r="164" spans="2:6" x14ac:dyDescent="0.2">
      <c r="B164" s="6">
        <f t="shared" si="6"/>
        <v>161</v>
      </c>
      <c r="C164" s="81" t="e">
        <f ca="1">VLOOKUP(B164,Calc!$K$66:$L$76,2,FALSE)</f>
        <v>#N/A</v>
      </c>
      <c r="D164" s="81" t="e">
        <f ca="1">VLOOKUP(B164,Calc!$K$77:$L$87,2,FALSE)</f>
        <v>#N/A</v>
      </c>
      <c r="E164" s="523" t="e">
        <f ca="1">VLOOKUP(B164,Calc!$K$88:$L$98,2,FALSE)</f>
        <v>#N/A</v>
      </c>
      <c r="F164" s="523" t="e">
        <f ca="1">IF(Errorhandling!$C$42,INDEX(Calc!$J$99:$J$109,MATCH(Display!B164,Calc!$K$99:$K$109,0),1),#N/A)</f>
        <v>#N/A</v>
      </c>
    </row>
    <row r="165" spans="2:6" x14ac:dyDescent="0.2">
      <c r="B165" s="6">
        <f t="shared" si="6"/>
        <v>162</v>
      </c>
      <c r="C165" s="81" t="e">
        <f ca="1">VLOOKUP(B165,Calc!$K$66:$L$76,2,FALSE)</f>
        <v>#N/A</v>
      </c>
      <c r="D165" s="81" t="e">
        <f ca="1">VLOOKUP(B165,Calc!$K$77:$L$87,2,FALSE)</f>
        <v>#N/A</v>
      </c>
      <c r="E165" s="523" t="e">
        <f ca="1">VLOOKUP(B165,Calc!$K$88:$L$98,2,FALSE)</f>
        <v>#N/A</v>
      </c>
      <c r="F165" s="523" t="e">
        <f ca="1">IF(Errorhandling!$C$42,INDEX(Calc!$J$99:$J$109,MATCH(Display!B165,Calc!$K$99:$K$109,0),1),#N/A)</f>
        <v>#N/A</v>
      </c>
    </row>
    <row r="166" spans="2:6" x14ac:dyDescent="0.2">
      <c r="B166" s="6">
        <f t="shared" si="6"/>
        <v>163</v>
      </c>
      <c r="C166" s="81" t="e">
        <f ca="1">VLOOKUP(B166,Calc!$K$66:$L$76,2,FALSE)</f>
        <v>#N/A</v>
      </c>
      <c r="D166" s="81" t="e">
        <f ca="1">VLOOKUP(B166,Calc!$K$77:$L$87,2,FALSE)</f>
        <v>#N/A</v>
      </c>
      <c r="E166" s="523" t="e">
        <f ca="1">VLOOKUP(B166,Calc!$K$88:$L$98,2,FALSE)</f>
        <v>#N/A</v>
      </c>
      <c r="F166" s="523" t="e">
        <f ca="1">IF(Errorhandling!$C$42,INDEX(Calc!$J$99:$J$109,MATCH(Display!B166,Calc!$K$99:$K$109,0),1),#N/A)</f>
        <v>#N/A</v>
      </c>
    </row>
    <row r="167" spans="2:6" x14ac:dyDescent="0.2">
      <c r="B167" s="6">
        <f t="shared" si="6"/>
        <v>164</v>
      </c>
      <c r="C167" s="81" t="e">
        <f ca="1">VLOOKUP(B167,Calc!$K$66:$L$76,2,FALSE)</f>
        <v>#N/A</v>
      </c>
      <c r="D167" s="81" t="e">
        <f ca="1">VLOOKUP(B167,Calc!$K$77:$L$87,2,FALSE)</f>
        <v>#N/A</v>
      </c>
      <c r="E167" s="523" t="e">
        <f ca="1">VLOOKUP(B167,Calc!$K$88:$L$98,2,FALSE)</f>
        <v>#N/A</v>
      </c>
      <c r="F167" s="523" t="e">
        <f ca="1">IF(Errorhandling!$C$42,INDEX(Calc!$J$99:$J$109,MATCH(Display!B167,Calc!$K$99:$K$109,0),1),#N/A)</f>
        <v>#N/A</v>
      </c>
    </row>
    <row r="168" spans="2:6" x14ac:dyDescent="0.2">
      <c r="B168" s="6">
        <f t="shared" si="6"/>
        <v>165</v>
      </c>
      <c r="C168" s="81" t="e">
        <f ca="1">VLOOKUP(B168,Calc!$K$66:$L$76,2,FALSE)</f>
        <v>#N/A</v>
      </c>
      <c r="D168" s="81" t="e">
        <f ca="1">VLOOKUP(B168,Calc!$K$77:$L$87,2,FALSE)</f>
        <v>#N/A</v>
      </c>
      <c r="E168" s="523" t="e">
        <f ca="1">VLOOKUP(B168,Calc!$K$88:$L$98,2,FALSE)</f>
        <v>#N/A</v>
      </c>
      <c r="F168" s="523" t="e">
        <f ca="1">IF(Errorhandling!$C$42,INDEX(Calc!$J$99:$J$109,MATCH(Display!B168,Calc!$K$99:$K$109,0),1),#N/A)</f>
        <v>#N/A</v>
      </c>
    </row>
    <row r="169" spans="2:6" x14ac:dyDescent="0.2">
      <c r="B169" s="6">
        <f t="shared" si="6"/>
        <v>166</v>
      </c>
      <c r="C169" s="81" t="e">
        <f ca="1">VLOOKUP(B169,Calc!$K$66:$L$76,2,FALSE)</f>
        <v>#N/A</v>
      </c>
      <c r="D169" s="81" t="e">
        <f ca="1">VLOOKUP(B169,Calc!$K$77:$L$87,2,FALSE)</f>
        <v>#N/A</v>
      </c>
      <c r="E169" s="523" t="e">
        <f ca="1">VLOOKUP(B169,Calc!$K$88:$L$98,2,FALSE)</f>
        <v>#N/A</v>
      </c>
      <c r="F169" s="523" t="e">
        <f ca="1">IF(Errorhandling!$C$42,INDEX(Calc!$J$99:$J$109,MATCH(Display!B169,Calc!$K$99:$K$109,0),1),#N/A)</f>
        <v>#N/A</v>
      </c>
    </row>
    <row r="170" spans="2:6" x14ac:dyDescent="0.2">
      <c r="B170" s="6">
        <f t="shared" si="6"/>
        <v>167</v>
      </c>
      <c r="C170" s="81" t="e">
        <f ca="1">VLOOKUP(B170,Calc!$K$66:$L$76,2,FALSE)</f>
        <v>#N/A</v>
      </c>
      <c r="D170" s="81" t="e">
        <f ca="1">VLOOKUP(B170,Calc!$K$77:$L$87,2,FALSE)</f>
        <v>#N/A</v>
      </c>
      <c r="E170" s="523" t="e">
        <f ca="1">VLOOKUP(B170,Calc!$K$88:$L$98,2,FALSE)</f>
        <v>#N/A</v>
      </c>
      <c r="F170" s="523" t="e">
        <f ca="1">IF(Errorhandling!$C$42,INDEX(Calc!$J$99:$J$109,MATCH(Display!B170,Calc!$K$99:$K$109,0),1),#N/A)</f>
        <v>#N/A</v>
      </c>
    </row>
    <row r="171" spans="2:6" x14ac:dyDescent="0.2">
      <c r="B171" s="6">
        <f t="shared" si="6"/>
        <v>168</v>
      </c>
      <c r="C171" s="81" t="e">
        <f ca="1">VLOOKUP(B171,Calc!$K$66:$L$76,2,FALSE)</f>
        <v>#N/A</v>
      </c>
      <c r="D171" s="81" t="e">
        <f ca="1">VLOOKUP(B171,Calc!$K$77:$L$87,2,FALSE)</f>
        <v>#N/A</v>
      </c>
      <c r="E171" s="523" t="e">
        <f ca="1">VLOOKUP(B171,Calc!$K$88:$L$98,2,FALSE)</f>
        <v>#N/A</v>
      </c>
      <c r="F171" s="523" t="e">
        <f ca="1">IF(Errorhandling!$C$42,INDEX(Calc!$J$99:$J$109,MATCH(Display!B171,Calc!$K$99:$K$109,0),1),#N/A)</f>
        <v>#N/A</v>
      </c>
    </row>
    <row r="172" spans="2:6" x14ac:dyDescent="0.2">
      <c r="B172" s="6">
        <f t="shared" si="6"/>
        <v>169</v>
      </c>
      <c r="C172" s="81" t="e">
        <f ca="1">VLOOKUP(B172,Calc!$K$66:$L$76,2,FALSE)</f>
        <v>#N/A</v>
      </c>
      <c r="D172" s="81" t="e">
        <f ca="1">VLOOKUP(B172,Calc!$K$77:$L$87,2,FALSE)</f>
        <v>#N/A</v>
      </c>
      <c r="E172" s="523" t="e">
        <f ca="1">VLOOKUP(B172,Calc!$K$88:$L$98,2,FALSE)</f>
        <v>#N/A</v>
      </c>
      <c r="F172" s="523" t="e">
        <f ca="1">IF(Errorhandling!$C$42,INDEX(Calc!$J$99:$J$109,MATCH(Display!B172,Calc!$K$99:$K$109,0),1),#N/A)</f>
        <v>#N/A</v>
      </c>
    </row>
    <row r="173" spans="2:6" x14ac:dyDescent="0.2">
      <c r="B173" s="6">
        <f t="shared" si="6"/>
        <v>170</v>
      </c>
      <c r="C173" s="81" t="e">
        <f ca="1">VLOOKUP(B173,Calc!$K$66:$L$76,2,FALSE)</f>
        <v>#N/A</v>
      </c>
      <c r="D173" s="81" t="e">
        <f ca="1">VLOOKUP(B173,Calc!$K$77:$L$87,2,FALSE)</f>
        <v>#N/A</v>
      </c>
      <c r="E173" s="523" t="e">
        <f ca="1">VLOOKUP(B173,Calc!$K$88:$L$98,2,FALSE)</f>
        <v>#N/A</v>
      </c>
      <c r="F173" s="523" t="e">
        <f ca="1">IF(Errorhandling!$C$42,INDEX(Calc!$J$99:$J$109,MATCH(Display!B173,Calc!$K$99:$K$109,0),1),#N/A)</f>
        <v>#N/A</v>
      </c>
    </row>
    <row r="174" spans="2:6" x14ac:dyDescent="0.2">
      <c r="B174" s="6">
        <f t="shared" si="6"/>
        <v>171</v>
      </c>
      <c r="C174" s="81" t="e">
        <f ca="1">VLOOKUP(B174,Calc!$K$66:$L$76,2,FALSE)</f>
        <v>#N/A</v>
      </c>
      <c r="D174" s="81" t="e">
        <f ca="1">VLOOKUP(B174,Calc!$K$77:$L$87,2,FALSE)</f>
        <v>#N/A</v>
      </c>
      <c r="E174" s="523" t="e">
        <f ca="1">VLOOKUP(B174,Calc!$K$88:$L$98,2,FALSE)</f>
        <v>#N/A</v>
      </c>
      <c r="F174" s="523" t="e">
        <f ca="1">IF(Errorhandling!$C$42,INDEX(Calc!$J$99:$J$109,MATCH(Display!B174,Calc!$K$99:$K$109,0),1),#N/A)</f>
        <v>#N/A</v>
      </c>
    </row>
    <row r="175" spans="2:6" x14ac:dyDescent="0.2">
      <c r="B175" s="6">
        <f t="shared" si="6"/>
        <v>172</v>
      </c>
      <c r="C175" s="81" t="e">
        <f ca="1">VLOOKUP(B175,Calc!$K$66:$L$76,2,FALSE)</f>
        <v>#N/A</v>
      </c>
      <c r="D175" s="81" t="e">
        <f ca="1">VLOOKUP(B175,Calc!$K$77:$L$87,2,FALSE)</f>
        <v>#N/A</v>
      </c>
      <c r="E175" s="523" t="e">
        <f ca="1">VLOOKUP(B175,Calc!$K$88:$L$98,2,FALSE)</f>
        <v>#N/A</v>
      </c>
      <c r="F175" s="523" t="e">
        <f ca="1">IF(Errorhandling!$C$42,INDEX(Calc!$J$99:$J$109,MATCH(Display!B175,Calc!$K$99:$K$109,0),1),#N/A)</f>
        <v>#N/A</v>
      </c>
    </row>
    <row r="176" spans="2:6" x14ac:dyDescent="0.2">
      <c r="B176" s="6">
        <f t="shared" si="6"/>
        <v>173</v>
      </c>
      <c r="C176" s="81">
        <f ca="1">VLOOKUP(B176,Calc!$K$66:$L$76,2,FALSE)</f>
        <v>122.92417734399675</v>
      </c>
      <c r="D176" s="81" t="e">
        <f ca="1">VLOOKUP(B176,Calc!$K$77:$L$87,2,FALSE)</f>
        <v>#N/A</v>
      </c>
      <c r="E176" s="523" t="e">
        <f ca="1">VLOOKUP(B176,Calc!$K$88:$L$98,2,FALSE)</f>
        <v>#N/A</v>
      </c>
      <c r="F176" s="523" t="e">
        <f ca="1">IF(Errorhandling!$C$42,INDEX(Calc!$J$99:$J$109,MATCH(Display!B176,Calc!$K$99:$K$109,0),1),#N/A)</f>
        <v>#N/A</v>
      </c>
    </row>
    <row r="177" spans="2:6" x14ac:dyDescent="0.2">
      <c r="B177" s="6">
        <f t="shared" si="6"/>
        <v>174</v>
      </c>
      <c r="C177" s="81" t="e">
        <f ca="1">VLOOKUP(B177,Calc!$K$66:$L$76,2,FALSE)</f>
        <v>#N/A</v>
      </c>
      <c r="D177" s="81" t="e">
        <f ca="1">VLOOKUP(B177,Calc!$K$77:$L$87,2,FALSE)</f>
        <v>#N/A</v>
      </c>
      <c r="E177" s="523" t="e">
        <f ca="1">VLOOKUP(B177,Calc!$K$88:$L$98,2,FALSE)</f>
        <v>#N/A</v>
      </c>
      <c r="F177" s="523" t="e">
        <f ca="1">IF(Errorhandling!$C$42,INDEX(Calc!$J$99:$J$109,MATCH(Display!B177,Calc!$K$99:$K$109,0),1),#N/A)</f>
        <v>#N/A</v>
      </c>
    </row>
    <row r="178" spans="2:6" x14ac:dyDescent="0.2">
      <c r="B178" s="6">
        <f t="shared" si="6"/>
        <v>175</v>
      </c>
      <c r="C178" s="81" t="e">
        <f ca="1">VLOOKUP(B178,Calc!$K$66:$L$76,2,FALSE)</f>
        <v>#N/A</v>
      </c>
      <c r="D178" s="81" t="e">
        <f ca="1">VLOOKUP(B178,Calc!$K$77:$L$87,2,FALSE)</f>
        <v>#N/A</v>
      </c>
      <c r="E178" s="523" t="e">
        <f ca="1">VLOOKUP(B178,Calc!$K$88:$L$98,2,FALSE)</f>
        <v>#N/A</v>
      </c>
      <c r="F178" s="523" t="e">
        <f ca="1">IF(Errorhandling!$C$42,INDEX(Calc!$J$99:$J$109,MATCH(Display!B178,Calc!$K$99:$K$109,0),1),#N/A)</f>
        <v>#N/A</v>
      </c>
    </row>
    <row r="179" spans="2:6" x14ac:dyDescent="0.2">
      <c r="B179" s="6">
        <f t="shared" si="6"/>
        <v>176</v>
      </c>
      <c r="C179" s="81" t="e">
        <f ca="1">VLOOKUP(B179,Calc!$K$66:$L$76,2,FALSE)</f>
        <v>#N/A</v>
      </c>
      <c r="D179" s="81" t="e">
        <f ca="1">VLOOKUP(B179,Calc!$K$77:$L$87,2,FALSE)</f>
        <v>#N/A</v>
      </c>
      <c r="E179" s="523" t="e">
        <f ca="1">VLOOKUP(B179,Calc!$K$88:$L$98,2,FALSE)</f>
        <v>#N/A</v>
      </c>
      <c r="F179" s="523" t="e">
        <f ca="1">IF(Errorhandling!$C$42,INDEX(Calc!$J$99:$J$109,MATCH(Display!B179,Calc!$K$99:$K$109,0),1),#N/A)</f>
        <v>#N/A</v>
      </c>
    </row>
    <row r="180" spans="2:6" x14ac:dyDescent="0.2">
      <c r="B180" s="6">
        <f t="shared" si="6"/>
        <v>177</v>
      </c>
      <c r="C180" s="81" t="e">
        <f ca="1">VLOOKUP(B180,Calc!$K$66:$L$76,2,FALSE)</f>
        <v>#N/A</v>
      </c>
      <c r="D180" s="81" t="e">
        <f ca="1">VLOOKUP(B180,Calc!$K$77:$L$87,2,FALSE)</f>
        <v>#N/A</v>
      </c>
      <c r="E180" s="523" t="e">
        <f ca="1">VLOOKUP(B180,Calc!$K$88:$L$98,2,FALSE)</f>
        <v>#N/A</v>
      </c>
      <c r="F180" s="523" t="e">
        <f ca="1">IF(Errorhandling!$C$42,INDEX(Calc!$J$99:$J$109,MATCH(Display!B180,Calc!$K$99:$K$109,0),1),#N/A)</f>
        <v>#N/A</v>
      </c>
    </row>
    <row r="181" spans="2:6" x14ac:dyDescent="0.2">
      <c r="B181" s="6">
        <f t="shared" si="6"/>
        <v>178</v>
      </c>
      <c r="C181" s="81" t="e">
        <f ca="1">VLOOKUP(B181,Calc!$K$66:$L$76,2,FALSE)</f>
        <v>#N/A</v>
      </c>
      <c r="D181" s="81" t="e">
        <f ca="1">VLOOKUP(B181,Calc!$K$77:$L$87,2,FALSE)</f>
        <v>#N/A</v>
      </c>
      <c r="E181" s="523" t="e">
        <f ca="1">VLOOKUP(B181,Calc!$K$88:$L$98,2,FALSE)</f>
        <v>#N/A</v>
      </c>
      <c r="F181" s="523" t="e">
        <f ca="1">IF(Errorhandling!$C$42,INDEX(Calc!$J$99:$J$109,MATCH(Display!B181,Calc!$K$99:$K$109,0),1),#N/A)</f>
        <v>#N/A</v>
      </c>
    </row>
    <row r="182" spans="2:6" x14ac:dyDescent="0.2">
      <c r="B182" s="6">
        <f t="shared" si="6"/>
        <v>179</v>
      </c>
      <c r="C182" s="81" t="e">
        <f ca="1">VLOOKUP(B182,Calc!$K$66:$L$76,2,FALSE)</f>
        <v>#N/A</v>
      </c>
      <c r="D182" s="81" t="e">
        <f ca="1">VLOOKUP(B182,Calc!$K$77:$L$87,2,FALSE)</f>
        <v>#N/A</v>
      </c>
      <c r="E182" s="523" t="e">
        <f ca="1">VLOOKUP(B182,Calc!$K$88:$L$98,2,FALSE)</f>
        <v>#N/A</v>
      </c>
      <c r="F182" s="523" t="e">
        <f ca="1">IF(Errorhandling!$C$42,INDEX(Calc!$J$99:$J$109,MATCH(Display!B182,Calc!$K$99:$K$109,0),1),#N/A)</f>
        <v>#N/A</v>
      </c>
    </row>
    <row r="183" spans="2:6" x14ac:dyDescent="0.2">
      <c r="B183" s="6">
        <f t="shared" si="6"/>
        <v>180</v>
      </c>
      <c r="C183" s="81" t="e">
        <f ca="1">VLOOKUP(B183,Calc!$K$66:$L$76,2,FALSE)</f>
        <v>#N/A</v>
      </c>
      <c r="D183" s="81">
        <f ca="1">VLOOKUP(B183,Calc!$K$77:$L$87,2,FALSE)</f>
        <v>245.26597865302801</v>
      </c>
      <c r="E183" s="523" t="e">
        <f ca="1">VLOOKUP(B183,Calc!$K$88:$L$98,2,FALSE)</f>
        <v>#N/A</v>
      </c>
      <c r="F183" s="523" t="e">
        <f ca="1">IF(Errorhandling!$C$42,INDEX(Calc!$J$99:$J$109,MATCH(Display!B183,Calc!$K$99:$K$109,0),1),#N/A)</f>
        <v>#N/A</v>
      </c>
    </row>
    <row r="184" spans="2:6" x14ac:dyDescent="0.2">
      <c r="B184" s="6">
        <f t="shared" si="6"/>
        <v>181</v>
      </c>
      <c r="C184" s="81" t="e">
        <f ca="1">VLOOKUP(B184,Calc!$K$66:$L$76,2,FALSE)</f>
        <v>#N/A</v>
      </c>
      <c r="D184" s="81" t="e">
        <f ca="1">VLOOKUP(B184,Calc!$K$77:$L$87,2,FALSE)</f>
        <v>#N/A</v>
      </c>
      <c r="E184" s="523" t="e">
        <f ca="1">VLOOKUP(B184,Calc!$K$88:$L$98,2,FALSE)</f>
        <v>#N/A</v>
      </c>
      <c r="F184" s="523" t="e">
        <f ca="1">IF(Errorhandling!$C$42,INDEX(Calc!$J$99:$J$109,MATCH(Display!B184,Calc!$K$99:$K$109,0),1),#N/A)</f>
        <v>#N/A</v>
      </c>
    </row>
    <row r="185" spans="2:6" x14ac:dyDescent="0.2">
      <c r="B185" s="6">
        <f t="shared" si="6"/>
        <v>182</v>
      </c>
      <c r="C185" s="81" t="e">
        <f ca="1">VLOOKUP(B185,Calc!$K$66:$L$76,2,FALSE)</f>
        <v>#N/A</v>
      </c>
      <c r="D185" s="81" t="e">
        <f ca="1">VLOOKUP(B185,Calc!$K$77:$L$87,2,FALSE)</f>
        <v>#N/A</v>
      </c>
      <c r="E185" s="523" t="e">
        <f ca="1">VLOOKUP(B185,Calc!$K$88:$L$98,2,FALSE)</f>
        <v>#N/A</v>
      </c>
      <c r="F185" s="523" t="e">
        <f ca="1">IF(Errorhandling!$C$42,INDEX(Calc!$J$99:$J$109,MATCH(Display!B185,Calc!$K$99:$K$109,0),1),#N/A)</f>
        <v>#N/A</v>
      </c>
    </row>
    <row r="186" spans="2:6" x14ac:dyDescent="0.2">
      <c r="B186" s="6">
        <f t="shared" si="6"/>
        <v>183</v>
      </c>
      <c r="C186" s="81" t="e">
        <f ca="1">VLOOKUP(B186,Calc!$K$66:$L$76,2,FALSE)</f>
        <v>#N/A</v>
      </c>
      <c r="D186" s="81" t="e">
        <f ca="1">VLOOKUP(B186,Calc!$K$77:$L$87,2,FALSE)</f>
        <v>#N/A</v>
      </c>
      <c r="E186" s="523" t="e">
        <f ca="1">VLOOKUP(B186,Calc!$K$88:$L$98,2,FALSE)</f>
        <v>#N/A</v>
      </c>
      <c r="F186" s="523" t="e">
        <f ca="1">IF(Errorhandling!$C$42,INDEX(Calc!$J$99:$J$109,MATCH(Display!B186,Calc!$K$99:$K$109,0),1),#N/A)</f>
        <v>#N/A</v>
      </c>
    </row>
    <row r="187" spans="2:6" x14ac:dyDescent="0.2">
      <c r="B187" s="6">
        <f t="shared" si="6"/>
        <v>184</v>
      </c>
      <c r="C187" s="81" t="e">
        <f ca="1">VLOOKUP(B187,Calc!$K$66:$L$76,2,FALSE)</f>
        <v>#N/A</v>
      </c>
      <c r="D187" s="81" t="e">
        <f ca="1">VLOOKUP(B187,Calc!$K$77:$L$87,2,FALSE)</f>
        <v>#N/A</v>
      </c>
      <c r="E187" s="523" t="e">
        <f ca="1">VLOOKUP(B187,Calc!$K$88:$L$98,2,FALSE)</f>
        <v>#N/A</v>
      </c>
      <c r="F187" s="523" t="e">
        <f ca="1">IF(Errorhandling!$C$42,INDEX(Calc!$J$99:$J$109,MATCH(Display!B187,Calc!$K$99:$K$109,0),1),#N/A)</f>
        <v>#N/A</v>
      </c>
    </row>
    <row r="188" spans="2:6" x14ac:dyDescent="0.2">
      <c r="B188" s="6">
        <f t="shared" si="6"/>
        <v>185</v>
      </c>
      <c r="C188" s="81" t="e">
        <f ca="1">VLOOKUP(B188,Calc!$K$66:$L$76,2,FALSE)</f>
        <v>#N/A</v>
      </c>
      <c r="D188" s="81" t="e">
        <f ca="1">VLOOKUP(B188,Calc!$K$77:$L$87,2,FALSE)</f>
        <v>#N/A</v>
      </c>
      <c r="E188" s="523" t="e">
        <f ca="1">VLOOKUP(B188,Calc!$K$88:$L$98,2,FALSE)</f>
        <v>#N/A</v>
      </c>
      <c r="F188" s="523" t="e">
        <f ca="1">IF(Errorhandling!$C$42,INDEX(Calc!$J$99:$J$109,MATCH(Display!B188,Calc!$K$99:$K$109,0),1),#N/A)</f>
        <v>#N/A</v>
      </c>
    </row>
    <row r="189" spans="2:6" x14ac:dyDescent="0.2">
      <c r="B189" s="6">
        <f t="shared" si="6"/>
        <v>186</v>
      </c>
      <c r="C189" s="81" t="e">
        <f ca="1">VLOOKUP(B189,Calc!$K$66:$L$76,2,FALSE)</f>
        <v>#N/A</v>
      </c>
      <c r="D189" s="81" t="e">
        <f ca="1">VLOOKUP(B189,Calc!$K$77:$L$87,2,FALSE)</f>
        <v>#N/A</v>
      </c>
      <c r="E189" s="523" t="e">
        <f ca="1">VLOOKUP(B189,Calc!$K$88:$L$98,2,FALSE)</f>
        <v>#N/A</v>
      </c>
      <c r="F189" s="523" t="e">
        <f ca="1">IF(Errorhandling!$C$42,INDEX(Calc!$J$99:$J$109,MATCH(Display!B189,Calc!$K$99:$K$109,0),1),#N/A)</f>
        <v>#N/A</v>
      </c>
    </row>
    <row r="190" spans="2:6" x14ac:dyDescent="0.2">
      <c r="B190" s="6">
        <f t="shared" si="6"/>
        <v>187</v>
      </c>
      <c r="C190" s="81" t="e">
        <f ca="1">VLOOKUP(B190,Calc!$K$66:$L$76,2,FALSE)</f>
        <v>#N/A</v>
      </c>
      <c r="D190" s="81" t="e">
        <f ca="1">VLOOKUP(B190,Calc!$K$77:$L$87,2,FALSE)</f>
        <v>#N/A</v>
      </c>
      <c r="E190" s="523" t="e">
        <f ca="1">VLOOKUP(B190,Calc!$K$88:$L$98,2,FALSE)</f>
        <v>#N/A</v>
      </c>
      <c r="F190" s="523" t="e">
        <f ca="1">IF(Errorhandling!$C$42,INDEX(Calc!$J$99:$J$109,MATCH(Display!B190,Calc!$K$99:$K$109,0),1),#N/A)</f>
        <v>#N/A</v>
      </c>
    </row>
    <row r="191" spans="2:6" x14ac:dyDescent="0.2">
      <c r="B191" s="6">
        <f t="shared" si="6"/>
        <v>188</v>
      </c>
      <c r="C191" s="81" t="e">
        <f ca="1">VLOOKUP(B191,Calc!$K$66:$L$76,2,FALSE)</f>
        <v>#N/A</v>
      </c>
      <c r="D191" s="81" t="e">
        <f ca="1">VLOOKUP(B191,Calc!$K$77:$L$87,2,FALSE)</f>
        <v>#N/A</v>
      </c>
      <c r="E191" s="523" t="e">
        <f ca="1">VLOOKUP(B191,Calc!$K$88:$L$98,2,FALSE)</f>
        <v>#N/A</v>
      </c>
      <c r="F191" s="523" t="e">
        <f ca="1">IF(Errorhandling!$C$42,INDEX(Calc!$J$99:$J$109,MATCH(Display!B191,Calc!$K$99:$K$109,0),1),#N/A)</f>
        <v>#N/A</v>
      </c>
    </row>
    <row r="192" spans="2:6" x14ac:dyDescent="0.2">
      <c r="B192" s="6">
        <f t="shared" si="6"/>
        <v>189</v>
      </c>
      <c r="C192" s="81" t="e">
        <f ca="1">VLOOKUP(B192,Calc!$K$66:$L$76,2,FALSE)</f>
        <v>#N/A</v>
      </c>
      <c r="D192" s="81" t="e">
        <f ca="1">VLOOKUP(B192,Calc!$K$77:$L$87,2,FALSE)</f>
        <v>#N/A</v>
      </c>
      <c r="E192" s="523" t="e">
        <f ca="1">VLOOKUP(B192,Calc!$K$88:$L$98,2,FALSE)</f>
        <v>#N/A</v>
      </c>
      <c r="F192" s="523" t="e">
        <f ca="1">IF(Errorhandling!$C$42,INDEX(Calc!$J$99:$J$109,MATCH(Display!B192,Calc!$K$99:$K$109,0),1),#N/A)</f>
        <v>#N/A</v>
      </c>
    </row>
    <row r="193" spans="2:6" x14ac:dyDescent="0.2">
      <c r="B193" s="6">
        <f t="shared" si="6"/>
        <v>190</v>
      </c>
      <c r="C193" s="81" t="e">
        <f ca="1">VLOOKUP(B193,Calc!$K$66:$L$76,2,FALSE)</f>
        <v>#N/A</v>
      </c>
      <c r="D193" s="81" t="e">
        <f ca="1">VLOOKUP(B193,Calc!$K$77:$L$87,2,FALSE)</f>
        <v>#N/A</v>
      </c>
      <c r="E193" s="523" t="e">
        <f ca="1">VLOOKUP(B193,Calc!$K$88:$L$98,2,FALSE)</f>
        <v>#N/A</v>
      </c>
      <c r="F193" s="523" t="e">
        <f ca="1">IF(Errorhandling!$C$42,INDEX(Calc!$J$99:$J$109,MATCH(Display!B193,Calc!$K$99:$K$109,0),1),#N/A)</f>
        <v>#N/A</v>
      </c>
    </row>
    <row r="194" spans="2:6" x14ac:dyDescent="0.2">
      <c r="B194" s="6">
        <f t="shared" si="6"/>
        <v>191</v>
      </c>
      <c r="C194" s="81" t="e">
        <f ca="1">VLOOKUP(B194,Calc!$K$66:$L$76,2,FALSE)</f>
        <v>#N/A</v>
      </c>
      <c r="D194" s="81" t="e">
        <f ca="1">VLOOKUP(B194,Calc!$K$77:$L$87,2,FALSE)</f>
        <v>#N/A</v>
      </c>
      <c r="E194" s="523" t="e">
        <f ca="1">VLOOKUP(B194,Calc!$K$88:$L$98,2,FALSE)</f>
        <v>#N/A</v>
      </c>
      <c r="F194" s="523" t="e">
        <f ca="1">IF(Errorhandling!$C$42,INDEX(Calc!$J$99:$J$109,MATCH(Display!B194,Calc!$K$99:$K$109,0),1),#N/A)</f>
        <v>#N/A</v>
      </c>
    </row>
    <row r="195" spans="2:6" x14ac:dyDescent="0.2">
      <c r="B195" s="6">
        <f t="shared" si="6"/>
        <v>192</v>
      </c>
      <c r="C195" s="81" t="e">
        <f ca="1">VLOOKUP(B195,Calc!$K$66:$L$76,2,FALSE)</f>
        <v>#N/A</v>
      </c>
      <c r="D195" s="81" t="e">
        <f ca="1">VLOOKUP(B195,Calc!$K$77:$L$87,2,FALSE)</f>
        <v>#N/A</v>
      </c>
      <c r="E195" s="523" t="e">
        <f ca="1">VLOOKUP(B195,Calc!$K$88:$L$98,2,FALSE)</f>
        <v>#N/A</v>
      </c>
      <c r="F195" s="523" t="e">
        <f ca="1">IF(Errorhandling!$C$42,INDEX(Calc!$J$99:$J$109,MATCH(Display!B195,Calc!$K$99:$K$109,0),1),#N/A)</f>
        <v>#N/A</v>
      </c>
    </row>
    <row r="196" spans="2:6" x14ac:dyDescent="0.2">
      <c r="B196" s="6">
        <f t="shared" si="6"/>
        <v>193</v>
      </c>
      <c r="C196" s="81" t="e">
        <f ca="1">VLOOKUP(B196,Calc!$K$66:$L$76,2,FALSE)</f>
        <v>#N/A</v>
      </c>
      <c r="D196" s="81" t="e">
        <f ca="1">VLOOKUP(B196,Calc!$K$77:$L$87,2,FALSE)</f>
        <v>#N/A</v>
      </c>
      <c r="E196" s="523" t="e">
        <f ca="1">VLOOKUP(B196,Calc!$K$88:$L$98,2,FALSE)</f>
        <v>#N/A</v>
      </c>
      <c r="F196" s="523" t="e">
        <f ca="1">IF(Errorhandling!$C$42,INDEX(Calc!$J$99:$J$109,MATCH(Display!B196,Calc!$K$99:$K$109,0),1),#N/A)</f>
        <v>#N/A</v>
      </c>
    </row>
    <row r="197" spans="2:6" x14ac:dyDescent="0.2">
      <c r="B197" s="6">
        <f t="shared" si="6"/>
        <v>194</v>
      </c>
      <c r="C197" s="81" t="e">
        <f ca="1">VLOOKUP(B197,Calc!$K$66:$L$76,2,FALSE)</f>
        <v>#N/A</v>
      </c>
      <c r="D197" s="81" t="e">
        <f ca="1">VLOOKUP(B197,Calc!$K$77:$L$87,2,FALSE)</f>
        <v>#N/A</v>
      </c>
      <c r="E197" s="523" t="e">
        <f ca="1">VLOOKUP(B197,Calc!$K$88:$L$98,2,FALSE)</f>
        <v>#N/A</v>
      </c>
      <c r="F197" s="523" t="e">
        <f ca="1">IF(Errorhandling!$C$42,INDEX(Calc!$J$99:$J$109,MATCH(Display!B197,Calc!$K$99:$K$109,0),1),#N/A)</f>
        <v>#N/A</v>
      </c>
    </row>
    <row r="198" spans="2:6" x14ac:dyDescent="0.2">
      <c r="B198" s="6">
        <f t="shared" ref="B198:B261" si="7">1+B197</f>
        <v>195</v>
      </c>
      <c r="C198" s="81">
        <f ca="1">VLOOKUP(B198,Calc!$K$66:$L$76,2,FALSE)</f>
        <v>97.642144794591459</v>
      </c>
      <c r="D198" s="81" t="e">
        <f ca="1">VLOOKUP(B198,Calc!$K$77:$L$87,2,FALSE)</f>
        <v>#N/A</v>
      </c>
      <c r="E198" s="523">
        <f ca="1">VLOOKUP(B198,Calc!$K$88:$L$98,2,FALSE)</f>
        <v>691.25344785556547</v>
      </c>
      <c r="F198" s="523">
        <f ca="1">IF(Errorhandling!$C$42,INDEX(Calc!$J$99:$J$109,MATCH(Display!B198,Calc!$K$99:$K$109,0),1),#N/A)</f>
        <v>3.8872037990949677E-5</v>
      </c>
    </row>
    <row r="199" spans="2:6" x14ac:dyDescent="0.2">
      <c r="B199" s="6">
        <f t="shared" si="7"/>
        <v>196</v>
      </c>
      <c r="C199" s="81" t="e">
        <f ca="1">VLOOKUP(B199,Calc!$K$66:$L$76,2,FALSE)</f>
        <v>#N/A</v>
      </c>
      <c r="D199" s="81" t="e">
        <f ca="1">VLOOKUP(B199,Calc!$K$77:$L$87,2,FALSE)</f>
        <v>#N/A</v>
      </c>
      <c r="E199" s="523" t="e">
        <f ca="1">VLOOKUP(B199,Calc!$K$88:$L$98,2,FALSE)</f>
        <v>#N/A</v>
      </c>
      <c r="F199" s="523" t="e">
        <f ca="1">IF(Errorhandling!$C$42,INDEX(Calc!$J$99:$J$109,MATCH(Display!B199,Calc!$K$99:$K$109,0),1),#N/A)</f>
        <v>#N/A</v>
      </c>
    </row>
    <row r="200" spans="2:6" x14ac:dyDescent="0.2">
      <c r="B200" s="6">
        <f t="shared" si="7"/>
        <v>197</v>
      </c>
      <c r="C200" s="81" t="e">
        <f ca="1">VLOOKUP(B200,Calc!$K$66:$L$76,2,FALSE)</f>
        <v>#N/A</v>
      </c>
      <c r="D200" s="81" t="e">
        <f ca="1">VLOOKUP(B200,Calc!$K$77:$L$87,2,FALSE)</f>
        <v>#N/A</v>
      </c>
      <c r="E200" s="523" t="e">
        <f ca="1">VLOOKUP(B200,Calc!$K$88:$L$98,2,FALSE)</f>
        <v>#N/A</v>
      </c>
      <c r="F200" s="523" t="e">
        <f ca="1">IF(Errorhandling!$C$42,INDEX(Calc!$J$99:$J$109,MATCH(Display!B200,Calc!$K$99:$K$109,0),1),#N/A)</f>
        <v>#N/A</v>
      </c>
    </row>
    <row r="201" spans="2:6" x14ac:dyDescent="0.2">
      <c r="B201" s="6">
        <f t="shared" si="7"/>
        <v>198</v>
      </c>
      <c r="C201" s="81" t="e">
        <f ca="1">VLOOKUP(B201,Calc!$K$66:$L$76,2,FALSE)</f>
        <v>#N/A</v>
      </c>
      <c r="D201" s="81" t="e">
        <f ca="1">VLOOKUP(B201,Calc!$K$77:$L$87,2,FALSE)</f>
        <v>#N/A</v>
      </c>
      <c r="E201" s="523" t="e">
        <f ca="1">VLOOKUP(B201,Calc!$K$88:$L$98,2,FALSE)</f>
        <v>#N/A</v>
      </c>
      <c r="F201" s="523" t="e">
        <f ca="1">IF(Errorhandling!$C$42,INDEX(Calc!$J$99:$J$109,MATCH(Display!B201,Calc!$K$99:$K$109,0),1),#N/A)</f>
        <v>#N/A</v>
      </c>
    </row>
    <row r="202" spans="2:6" x14ac:dyDescent="0.2">
      <c r="B202" s="6">
        <f t="shared" si="7"/>
        <v>199</v>
      </c>
      <c r="C202" s="81" t="e">
        <f ca="1">VLOOKUP(B202,Calc!$K$66:$L$76,2,FALSE)</f>
        <v>#N/A</v>
      </c>
      <c r="D202" s="81" t="e">
        <f ca="1">VLOOKUP(B202,Calc!$K$77:$L$87,2,FALSE)</f>
        <v>#N/A</v>
      </c>
      <c r="E202" s="523" t="e">
        <f ca="1">VLOOKUP(B202,Calc!$K$88:$L$98,2,FALSE)</f>
        <v>#N/A</v>
      </c>
      <c r="F202" s="523" t="e">
        <f ca="1">IF(Errorhandling!$C$42,INDEX(Calc!$J$99:$J$109,MATCH(Display!B202,Calc!$K$99:$K$109,0),1),#N/A)</f>
        <v>#N/A</v>
      </c>
    </row>
    <row r="203" spans="2:6" x14ac:dyDescent="0.2">
      <c r="B203" s="6">
        <f t="shared" si="7"/>
        <v>200</v>
      </c>
      <c r="C203" s="81" t="e">
        <f ca="1">VLOOKUP(B203,Calc!$K$66:$L$76,2,FALSE)</f>
        <v>#N/A</v>
      </c>
      <c r="D203" s="81" t="e">
        <f ca="1">VLOOKUP(B203,Calc!$K$77:$L$87,2,FALSE)</f>
        <v>#N/A</v>
      </c>
      <c r="E203" s="523" t="e">
        <f ca="1">VLOOKUP(B203,Calc!$K$88:$L$98,2,FALSE)</f>
        <v>#N/A</v>
      </c>
      <c r="F203" s="523" t="e">
        <f ca="1">IF(Errorhandling!$C$42,INDEX(Calc!$J$99:$J$109,MATCH(Display!B203,Calc!$K$99:$K$109,0),1),#N/A)</f>
        <v>#N/A</v>
      </c>
    </row>
    <row r="204" spans="2:6" x14ac:dyDescent="0.2">
      <c r="B204" s="6">
        <f t="shared" si="7"/>
        <v>201</v>
      </c>
      <c r="C204" s="81" t="e">
        <f ca="1">VLOOKUP(B204,Calc!$K$66:$L$76,2,FALSE)</f>
        <v>#N/A</v>
      </c>
      <c r="D204" s="81" t="e">
        <f ca="1">VLOOKUP(B204,Calc!$K$77:$L$87,2,FALSE)</f>
        <v>#N/A</v>
      </c>
      <c r="E204" s="523" t="e">
        <f ca="1">VLOOKUP(B204,Calc!$K$88:$L$98,2,FALSE)</f>
        <v>#N/A</v>
      </c>
      <c r="F204" s="523" t="e">
        <f ca="1">IF(Errorhandling!$C$42,INDEX(Calc!$J$99:$J$109,MATCH(Display!B204,Calc!$K$99:$K$109,0),1),#N/A)</f>
        <v>#N/A</v>
      </c>
    </row>
    <row r="205" spans="2:6" x14ac:dyDescent="0.2">
      <c r="B205" s="6">
        <f t="shared" si="7"/>
        <v>202</v>
      </c>
      <c r="C205" s="81" t="e">
        <f ca="1">VLOOKUP(B205,Calc!$K$66:$L$76,2,FALSE)</f>
        <v>#N/A</v>
      </c>
      <c r="D205" s="81" t="e">
        <f ca="1">VLOOKUP(B205,Calc!$K$77:$L$87,2,FALSE)</f>
        <v>#N/A</v>
      </c>
      <c r="E205" s="523" t="e">
        <f ca="1">VLOOKUP(B205,Calc!$K$88:$L$98,2,FALSE)</f>
        <v>#N/A</v>
      </c>
      <c r="F205" s="523" t="e">
        <f ca="1">IF(Errorhandling!$C$42,INDEX(Calc!$J$99:$J$109,MATCH(Display!B205,Calc!$K$99:$K$109,0),1),#N/A)</f>
        <v>#N/A</v>
      </c>
    </row>
    <row r="206" spans="2:6" x14ac:dyDescent="0.2">
      <c r="B206" s="6">
        <f t="shared" si="7"/>
        <v>203</v>
      </c>
      <c r="C206" s="81" t="e">
        <f ca="1">VLOOKUP(B206,Calc!$K$66:$L$76,2,FALSE)</f>
        <v>#N/A</v>
      </c>
      <c r="D206" s="81" t="e">
        <f ca="1">VLOOKUP(B206,Calc!$K$77:$L$87,2,FALSE)</f>
        <v>#N/A</v>
      </c>
      <c r="E206" s="523" t="e">
        <f ca="1">VLOOKUP(B206,Calc!$K$88:$L$98,2,FALSE)</f>
        <v>#N/A</v>
      </c>
      <c r="F206" s="523" t="e">
        <f ca="1">IF(Errorhandling!$C$42,INDEX(Calc!$J$99:$J$109,MATCH(Display!B206,Calc!$K$99:$K$109,0),1),#N/A)</f>
        <v>#N/A</v>
      </c>
    </row>
    <row r="207" spans="2:6" x14ac:dyDescent="0.2">
      <c r="B207" s="6">
        <f t="shared" si="7"/>
        <v>204</v>
      </c>
      <c r="C207" s="81" t="e">
        <f ca="1">VLOOKUP(B207,Calc!$K$66:$L$76,2,FALSE)</f>
        <v>#N/A</v>
      </c>
      <c r="D207" s="81" t="e">
        <f ca="1">VLOOKUP(B207,Calc!$K$77:$L$87,2,FALSE)</f>
        <v>#N/A</v>
      </c>
      <c r="E207" s="523" t="e">
        <f ca="1">VLOOKUP(B207,Calc!$K$88:$L$98,2,FALSE)</f>
        <v>#N/A</v>
      </c>
      <c r="F207" s="523" t="e">
        <f ca="1">IF(Errorhandling!$C$42,INDEX(Calc!$J$99:$J$109,MATCH(Display!B207,Calc!$K$99:$K$109,0),1),#N/A)</f>
        <v>#N/A</v>
      </c>
    </row>
    <row r="208" spans="2:6" x14ac:dyDescent="0.2">
      <c r="B208" s="6">
        <f t="shared" si="7"/>
        <v>205</v>
      </c>
      <c r="C208" s="81" t="e">
        <f ca="1">VLOOKUP(B208,Calc!$K$66:$L$76,2,FALSE)</f>
        <v>#N/A</v>
      </c>
      <c r="D208" s="81" t="e">
        <f ca="1">VLOOKUP(B208,Calc!$K$77:$L$87,2,FALSE)</f>
        <v>#N/A</v>
      </c>
      <c r="E208" s="523" t="e">
        <f ca="1">VLOOKUP(B208,Calc!$K$88:$L$98,2,FALSE)</f>
        <v>#N/A</v>
      </c>
      <c r="F208" s="523" t="e">
        <f ca="1">IF(Errorhandling!$C$42,INDEX(Calc!$J$99:$J$109,MATCH(Display!B208,Calc!$K$99:$K$109,0),1),#N/A)</f>
        <v>#N/A</v>
      </c>
    </row>
    <row r="209" spans="2:6" x14ac:dyDescent="0.2">
      <c r="B209" s="6">
        <f t="shared" si="7"/>
        <v>206</v>
      </c>
      <c r="C209" s="81" t="e">
        <f ca="1">VLOOKUP(B209,Calc!$K$66:$L$76,2,FALSE)</f>
        <v>#N/A</v>
      </c>
      <c r="D209" s="81" t="e">
        <f ca="1">VLOOKUP(B209,Calc!$K$77:$L$87,2,FALSE)</f>
        <v>#N/A</v>
      </c>
      <c r="E209" s="523" t="e">
        <f ca="1">VLOOKUP(B209,Calc!$K$88:$L$98,2,FALSE)</f>
        <v>#N/A</v>
      </c>
      <c r="F209" s="523" t="e">
        <f ca="1">IF(Errorhandling!$C$42,INDEX(Calc!$J$99:$J$109,MATCH(Display!B209,Calc!$K$99:$K$109,0),1),#N/A)</f>
        <v>#N/A</v>
      </c>
    </row>
    <row r="210" spans="2:6" x14ac:dyDescent="0.2">
      <c r="B210" s="6">
        <f t="shared" si="7"/>
        <v>207</v>
      </c>
      <c r="C210" s="81" t="e">
        <f ca="1">VLOOKUP(B210,Calc!$K$66:$L$76,2,FALSE)</f>
        <v>#N/A</v>
      </c>
      <c r="D210" s="81" t="e">
        <f ca="1">VLOOKUP(B210,Calc!$K$77:$L$87,2,FALSE)</f>
        <v>#N/A</v>
      </c>
      <c r="E210" s="523" t="e">
        <f ca="1">VLOOKUP(B210,Calc!$K$88:$L$98,2,FALSE)</f>
        <v>#N/A</v>
      </c>
      <c r="F210" s="523" t="e">
        <f ca="1">IF(Errorhandling!$C$42,INDEX(Calc!$J$99:$J$109,MATCH(Display!B210,Calc!$K$99:$K$109,0),1),#N/A)</f>
        <v>#N/A</v>
      </c>
    </row>
    <row r="211" spans="2:6" x14ac:dyDescent="0.2">
      <c r="B211" s="6">
        <f t="shared" si="7"/>
        <v>208</v>
      </c>
      <c r="C211" s="81" t="e">
        <f ca="1">VLOOKUP(B211,Calc!$K$66:$L$76,2,FALSE)</f>
        <v>#N/A</v>
      </c>
      <c r="D211" s="81" t="e">
        <f ca="1">VLOOKUP(B211,Calc!$K$77:$L$87,2,FALSE)</f>
        <v>#N/A</v>
      </c>
      <c r="E211" s="523" t="e">
        <f ca="1">VLOOKUP(B211,Calc!$K$88:$L$98,2,FALSE)</f>
        <v>#N/A</v>
      </c>
      <c r="F211" s="523" t="e">
        <f ca="1">IF(Errorhandling!$C$42,INDEX(Calc!$J$99:$J$109,MATCH(Display!B211,Calc!$K$99:$K$109,0),1),#N/A)</f>
        <v>#N/A</v>
      </c>
    </row>
    <row r="212" spans="2:6" x14ac:dyDescent="0.2">
      <c r="B212" s="6">
        <f t="shared" si="7"/>
        <v>209</v>
      </c>
      <c r="C212" s="81" t="e">
        <f ca="1">VLOOKUP(B212,Calc!$K$66:$L$76,2,FALSE)</f>
        <v>#N/A</v>
      </c>
      <c r="D212" s="81" t="e">
        <f ca="1">VLOOKUP(B212,Calc!$K$77:$L$87,2,FALSE)</f>
        <v>#N/A</v>
      </c>
      <c r="E212" s="523" t="e">
        <f ca="1">VLOOKUP(B212,Calc!$K$88:$L$98,2,FALSE)</f>
        <v>#N/A</v>
      </c>
      <c r="F212" s="523" t="e">
        <f ca="1">IF(Errorhandling!$C$42,INDEX(Calc!$J$99:$J$109,MATCH(Display!B212,Calc!$K$99:$K$109,0),1),#N/A)</f>
        <v>#N/A</v>
      </c>
    </row>
    <row r="213" spans="2:6" x14ac:dyDescent="0.2">
      <c r="B213" s="6">
        <f t="shared" si="7"/>
        <v>210</v>
      </c>
      <c r="C213" s="81" t="e">
        <f ca="1">VLOOKUP(B213,Calc!$K$66:$L$76,2,FALSE)</f>
        <v>#N/A</v>
      </c>
      <c r="D213" s="81" t="e">
        <f ca="1">VLOOKUP(B213,Calc!$K$77:$L$87,2,FALSE)</f>
        <v>#N/A</v>
      </c>
      <c r="E213" s="523" t="e">
        <f ca="1">VLOOKUP(B213,Calc!$K$88:$L$98,2,FALSE)</f>
        <v>#N/A</v>
      </c>
      <c r="F213" s="523" t="e">
        <f ca="1">IF(Errorhandling!$C$42,INDEX(Calc!$J$99:$J$109,MATCH(Display!B213,Calc!$K$99:$K$109,0),1),#N/A)</f>
        <v>#N/A</v>
      </c>
    </row>
    <row r="214" spans="2:6" x14ac:dyDescent="0.2">
      <c r="B214" s="6">
        <f t="shared" si="7"/>
        <v>211</v>
      </c>
      <c r="C214" s="81" t="e">
        <f ca="1">VLOOKUP(B214,Calc!$K$66:$L$76,2,FALSE)</f>
        <v>#N/A</v>
      </c>
      <c r="D214" s="81" t="e">
        <f ca="1">VLOOKUP(B214,Calc!$K$77:$L$87,2,FALSE)</f>
        <v>#N/A</v>
      </c>
      <c r="E214" s="523" t="e">
        <f ca="1">VLOOKUP(B214,Calc!$K$88:$L$98,2,FALSE)</f>
        <v>#N/A</v>
      </c>
      <c r="F214" s="523" t="e">
        <f ca="1">IF(Errorhandling!$C$42,INDEX(Calc!$J$99:$J$109,MATCH(Display!B214,Calc!$K$99:$K$109,0),1),#N/A)</f>
        <v>#N/A</v>
      </c>
    </row>
    <row r="215" spans="2:6" x14ac:dyDescent="0.2">
      <c r="B215" s="6">
        <f t="shared" si="7"/>
        <v>212</v>
      </c>
      <c r="C215" s="81" t="e">
        <f ca="1">VLOOKUP(B215,Calc!$K$66:$L$76,2,FALSE)</f>
        <v>#N/A</v>
      </c>
      <c r="D215" s="81" t="e">
        <f ca="1">VLOOKUP(B215,Calc!$K$77:$L$87,2,FALSE)</f>
        <v>#N/A</v>
      </c>
      <c r="E215" s="523" t="e">
        <f ca="1">VLOOKUP(B215,Calc!$K$88:$L$98,2,FALSE)</f>
        <v>#N/A</v>
      </c>
      <c r="F215" s="523" t="e">
        <f ca="1">IF(Errorhandling!$C$42,INDEX(Calc!$J$99:$J$109,MATCH(Display!B215,Calc!$K$99:$K$109,0),1),#N/A)</f>
        <v>#N/A</v>
      </c>
    </row>
    <row r="216" spans="2:6" x14ac:dyDescent="0.2">
      <c r="B216" s="6">
        <f t="shared" si="7"/>
        <v>213</v>
      </c>
      <c r="C216" s="81" t="e">
        <f ca="1">VLOOKUP(B216,Calc!$K$66:$L$76,2,FALSE)</f>
        <v>#N/A</v>
      </c>
      <c r="D216" s="81" t="e">
        <f ca="1">VLOOKUP(B216,Calc!$K$77:$L$87,2,FALSE)</f>
        <v>#N/A</v>
      </c>
      <c r="E216" s="523" t="e">
        <f ca="1">VLOOKUP(B216,Calc!$K$88:$L$98,2,FALSE)</f>
        <v>#N/A</v>
      </c>
      <c r="F216" s="523" t="e">
        <f ca="1">IF(Errorhandling!$C$42,INDEX(Calc!$J$99:$J$109,MATCH(Display!B216,Calc!$K$99:$K$109,0),1),#N/A)</f>
        <v>#N/A</v>
      </c>
    </row>
    <row r="217" spans="2:6" x14ac:dyDescent="0.2">
      <c r="B217" s="6">
        <f t="shared" si="7"/>
        <v>214</v>
      </c>
      <c r="C217" s="81" t="e">
        <f ca="1">VLOOKUP(B217,Calc!$K$66:$L$76,2,FALSE)</f>
        <v>#N/A</v>
      </c>
      <c r="D217" s="81" t="e">
        <f ca="1">VLOOKUP(B217,Calc!$K$77:$L$87,2,FALSE)</f>
        <v>#N/A</v>
      </c>
      <c r="E217" s="523" t="e">
        <f ca="1">VLOOKUP(B217,Calc!$K$88:$L$98,2,FALSE)</f>
        <v>#N/A</v>
      </c>
      <c r="F217" s="523" t="e">
        <f ca="1">IF(Errorhandling!$C$42,INDEX(Calc!$J$99:$J$109,MATCH(Display!B217,Calc!$K$99:$K$109,0),1),#N/A)</f>
        <v>#N/A</v>
      </c>
    </row>
    <row r="218" spans="2:6" x14ac:dyDescent="0.2">
      <c r="B218" s="6">
        <f t="shared" si="7"/>
        <v>215</v>
      </c>
      <c r="C218" s="81" t="e">
        <f ca="1">VLOOKUP(B218,Calc!$K$66:$L$76,2,FALSE)</f>
        <v>#N/A</v>
      </c>
      <c r="D218" s="81" t="e">
        <f ca="1">VLOOKUP(B218,Calc!$K$77:$L$87,2,FALSE)</f>
        <v>#N/A</v>
      </c>
      <c r="E218" s="523" t="e">
        <f ca="1">VLOOKUP(B218,Calc!$K$88:$L$98,2,FALSE)</f>
        <v>#N/A</v>
      </c>
      <c r="F218" s="523" t="e">
        <f ca="1">IF(Errorhandling!$C$42,INDEX(Calc!$J$99:$J$109,MATCH(Display!B218,Calc!$K$99:$K$109,0),1),#N/A)</f>
        <v>#N/A</v>
      </c>
    </row>
    <row r="219" spans="2:6" x14ac:dyDescent="0.2">
      <c r="B219" s="6">
        <f t="shared" si="7"/>
        <v>216</v>
      </c>
      <c r="C219" s="81">
        <f ca="1">VLOOKUP(B219,Calc!$K$66:$L$76,2,FALSE)</f>
        <v>69.125344785556663</v>
      </c>
      <c r="D219" s="81" t="e">
        <f ca="1">VLOOKUP(B219,Calc!$K$77:$L$87,2,FALSE)</f>
        <v>#N/A</v>
      </c>
      <c r="E219" s="523" t="e">
        <f ca="1">VLOOKUP(B219,Calc!$K$88:$L$98,2,FALSE)</f>
        <v>#N/A</v>
      </c>
      <c r="F219" s="523" t="e">
        <f ca="1">IF(Errorhandling!$C$42,INDEX(Calc!$J$99:$J$109,MATCH(Display!B219,Calc!$K$99:$K$109,0),1),#N/A)</f>
        <v>#N/A</v>
      </c>
    </row>
    <row r="220" spans="2:6" x14ac:dyDescent="0.2">
      <c r="B220" s="6">
        <f t="shared" si="7"/>
        <v>217</v>
      </c>
      <c r="C220" s="81" t="e">
        <f ca="1">VLOOKUP(B220,Calc!$K$66:$L$76,2,FALSE)</f>
        <v>#N/A</v>
      </c>
      <c r="D220" s="81" t="e">
        <f ca="1">VLOOKUP(B220,Calc!$K$77:$L$87,2,FALSE)</f>
        <v>#N/A</v>
      </c>
      <c r="E220" s="523" t="e">
        <f ca="1">VLOOKUP(B220,Calc!$K$88:$L$98,2,FALSE)</f>
        <v>#N/A</v>
      </c>
      <c r="F220" s="523" t="e">
        <f ca="1">IF(Errorhandling!$C$42,INDEX(Calc!$J$99:$J$109,MATCH(Display!B220,Calc!$K$99:$K$109,0),1),#N/A)</f>
        <v>#N/A</v>
      </c>
    </row>
    <row r="221" spans="2:6" x14ac:dyDescent="0.2">
      <c r="B221" s="6">
        <f t="shared" si="7"/>
        <v>218</v>
      </c>
      <c r="C221" s="81" t="e">
        <f ca="1">VLOOKUP(B221,Calc!$K$66:$L$76,2,FALSE)</f>
        <v>#N/A</v>
      </c>
      <c r="D221" s="81" t="e">
        <f ca="1">VLOOKUP(B221,Calc!$K$77:$L$87,2,FALSE)</f>
        <v>#N/A</v>
      </c>
      <c r="E221" s="523" t="e">
        <f ca="1">VLOOKUP(B221,Calc!$K$88:$L$98,2,FALSE)</f>
        <v>#N/A</v>
      </c>
      <c r="F221" s="523" t="e">
        <f ca="1">IF(Errorhandling!$C$42,INDEX(Calc!$J$99:$J$109,MATCH(Display!B221,Calc!$K$99:$K$109,0),1),#N/A)</f>
        <v>#N/A</v>
      </c>
    </row>
    <row r="222" spans="2:6" x14ac:dyDescent="0.2">
      <c r="B222" s="6">
        <f t="shared" si="7"/>
        <v>219</v>
      </c>
      <c r="C222" s="81" t="e">
        <f ca="1">VLOOKUP(B222,Calc!$K$66:$L$76,2,FALSE)</f>
        <v>#N/A</v>
      </c>
      <c r="D222" s="81" t="e">
        <f ca="1">VLOOKUP(B222,Calc!$K$77:$L$87,2,FALSE)</f>
        <v>#N/A</v>
      </c>
      <c r="E222" s="523" t="e">
        <f ca="1">VLOOKUP(B222,Calc!$K$88:$L$98,2,FALSE)</f>
        <v>#N/A</v>
      </c>
      <c r="F222" s="523" t="e">
        <f ca="1">IF(Errorhandling!$C$42,INDEX(Calc!$J$99:$J$109,MATCH(Display!B222,Calc!$K$99:$K$109,0),1),#N/A)</f>
        <v>#N/A</v>
      </c>
    </row>
    <row r="223" spans="2:6" x14ac:dyDescent="0.2">
      <c r="B223" s="6">
        <f t="shared" si="7"/>
        <v>220</v>
      </c>
      <c r="C223" s="81" t="e">
        <f ca="1">VLOOKUP(B223,Calc!$K$66:$L$76,2,FALSE)</f>
        <v>#N/A</v>
      </c>
      <c r="D223" s="81" t="e">
        <f ca="1">VLOOKUP(B223,Calc!$K$77:$L$87,2,FALSE)</f>
        <v>#N/A</v>
      </c>
      <c r="E223" s="523" t="e">
        <f ca="1">VLOOKUP(B223,Calc!$K$88:$L$98,2,FALSE)</f>
        <v>#N/A</v>
      </c>
      <c r="F223" s="523" t="e">
        <f ca="1">IF(Errorhandling!$C$42,INDEX(Calc!$J$99:$J$109,MATCH(Display!B223,Calc!$K$99:$K$109,0),1),#N/A)</f>
        <v>#N/A</v>
      </c>
    </row>
    <row r="224" spans="2:6" x14ac:dyDescent="0.2">
      <c r="B224" s="6">
        <f t="shared" si="7"/>
        <v>221</v>
      </c>
      <c r="C224" s="81" t="e">
        <f ca="1">VLOOKUP(B224,Calc!$K$66:$L$76,2,FALSE)</f>
        <v>#N/A</v>
      </c>
      <c r="D224" s="81" t="e">
        <f ca="1">VLOOKUP(B224,Calc!$K$77:$L$87,2,FALSE)</f>
        <v>#N/A</v>
      </c>
      <c r="E224" s="523" t="e">
        <f ca="1">VLOOKUP(B224,Calc!$K$88:$L$98,2,FALSE)</f>
        <v>#N/A</v>
      </c>
      <c r="F224" s="523" t="e">
        <f ca="1">IF(Errorhandling!$C$42,INDEX(Calc!$J$99:$J$109,MATCH(Display!B224,Calc!$K$99:$K$109,0),1),#N/A)</f>
        <v>#N/A</v>
      </c>
    </row>
    <row r="225" spans="2:6" x14ac:dyDescent="0.2">
      <c r="B225" s="6">
        <f t="shared" si="7"/>
        <v>222</v>
      </c>
      <c r="C225" s="81" t="e">
        <f ca="1">VLOOKUP(B225,Calc!$K$66:$L$76,2,FALSE)</f>
        <v>#N/A</v>
      </c>
      <c r="D225" s="81" t="e">
        <f ca="1">VLOOKUP(B225,Calc!$K$77:$L$87,2,FALSE)</f>
        <v>#N/A</v>
      </c>
      <c r="E225" s="523" t="e">
        <f ca="1">VLOOKUP(B225,Calc!$K$88:$L$98,2,FALSE)</f>
        <v>#N/A</v>
      </c>
      <c r="F225" s="523" t="e">
        <f ca="1">IF(Errorhandling!$C$42,INDEX(Calc!$J$99:$J$109,MATCH(Display!B225,Calc!$K$99:$K$109,0),1),#N/A)</f>
        <v>#N/A</v>
      </c>
    </row>
    <row r="226" spans="2:6" x14ac:dyDescent="0.2">
      <c r="B226" s="6">
        <f t="shared" si="7"/>
        <v>223</v>
      </c>
      <c r="C226" s="81" t="e">
        <f ca="1">VLOOKUP(B226,Calc!$K$66:$L$76,2,FALSE)</f>
        <v>#N/A</v>
      </c>
      <c r="D226" s="81" t="e">
        <f ca="1">VLOOKUP(B226,Calc!$K$77:$L$87,2,FALSE)</f>
        <v>#N/A</v>
      </c>
      <c r="E226" s="523" t="e">
        <f ca="1">VLOOKUP(B226,Calc!$K$88:$L$98,2,FALSE)</f>
        <v>#N/A</v>
      </c>
      <c r="F226" s="523" t="e">
        <f ca="1">IF(Errorhandling!$C$42,INDEX(Calc!$J$99:$J$109,MATCH(Display!B226,Calc!$K$99:$K$109,0),1),#N/A)</f>
        <v>#N/A</v>
      </c>
    </row>
    <row r="227" spans="2:6" x14ac:dyDescent="0.2">
      <c r="B227" s="6">
        <f t="shared" si="7"/>
        <v>224</v>
      </c>
      <c r="C227" s="81" t="e">
        <f ca="1">VLOOKUP(B227,Calc!$K$66:$L$76,2,FALSE)</f>
        <v>#N/A</v>
      </c>
      <c r="D227" s="81" t="e">
        <f ca="1">VLOOKUP(B227,Calc!$K$77:$L$87,2,FALSE)</f>
        <v>#N/A</v>
      </c>
      <c r="E227" s="523" t="e">
        <f ca="1">VLOOKUP(B227,Calc!$K$88:$L$98,2,FALSE)</f>
        <v>#N/A</v>
      </c>
      <c r="F227" s="523" t="e">
        <f ca="1">IF(Errorhandling!$C$42,INDEX(Calc!$J$99:$J$109,MATCH(Display!B227,Calc!$K$99:$K$109,0),1),#N/A)</f>
        <v>#N/A</v>
      </c>
    </row>
    <row r="228" spans="2:6" x14ac:dyDescent="0.2">
      <c r="B228" s="6">
        <f t="shared" si="7"/>
        <v>225</v>
      </c>
      <c r="C228" s="81" t="e">
        <f ca="1">VLOOKUP(B228,Calc!$K$66:$L$76,2,FALSE)</f>
        <v>#N/A</v>
      </c>
      <c r="D228" s="81" t="e">
        <f ca="1">VLOOKUP(B228,Calc!$K$77:$L$87,2,FALSE)</f>
        <v>#N/A</v>
      </c>
      <c r="E228" s="523" t="e">
        <f ca="1">VLOOKUP(B228,Calc!$K$88:$L$98,2,FALSE)</f>
        <v>#N/A</v>
      </c>
      <c r="F228" s="523" t="e">
        <f ca="1">IF(Errorhandling!$C$42,INDEX(Calc!$J$99:$J$109,MATCH(Display!B228,Calc!$K$99:$K$109,0),1),#N/A)</f>
        <v>#N/A</v>
      </c>
    </row>
    <row r="229" spans="2:6" x14ac:dyDescent="0.2">
      <c r="B229" s="6">
        <f t="shared" si="7"/>
        <v>226</v>
      </c>
      <c r="C229" s="81" t="e">
        <f ca="1">VLOOKUP(B229,Calc!$K$66:$L$76,2,FALSE)</f>
        <v>#N/A</v>
      </c>
      <c r="D229" s="81" t="e">
        <f ca="1">VLOOKUP(B229,Calc!$K$77:$L$87,2,FALSE)</f>
        <v>#N/A</v>
      </c>
      <c r="E229" s="523" t="e">
        <f ca="1">VLOOKUP(B229,Calc!$K$88:$L$98,2,FALSE)</f>
        <v>#N/A</v>
      </c>
      <c r="F229" s="523" t="e">
        <f ca="1">IF(Errorhandling!$C$42,INDEX(Calc!$J$99:$J$109,MATCH(Display!B229,Calc!$K$99:$K$109,0),1),#N/A)</f>
        <v>#N/A</v>
      </c>
    </row>
    <row r="230" spans="2:6" x14ac:dyDescent="0.2">
      <c r="B230" s="6">
        <f t="shared" si="7"/>
        <v>227</v>
      </c>
      <c r="C230" s="81" t="e">
        <f ca="1">VLOOKUP(B230,Calc!$K$66:$L$76,2,FALSE)</f>
        <v>#N/A</v>
      </c>
      <c r="D230" s="81" t="e">
        <f ca="1">VLOOKUP(B230,Calc!$K$77:$L$87,2,FALSE)</f>
        <v>#N/A</v>
      </c>
      <c r="E230" s="523" t="e">
        <f ca="1">VLOOKUP(B230,Calc!$K$88:$L$98,2,FALSE)</f>
        <v>#N/A</v>
      </c>
      <c r="F230" s="523" t="e">
        <f ca="1">IF(Errorhandling!$C$42,INDEX(Calc!$J$99:$J$109,MATCH(Display!B230,Calc!$K$99:$K$109,0),1),#N/A)</f>
        <v>#N/A</v>
      </c>
    </row>
    <row r="231" spans="2:6" x14ac:dyDescent="0.2">
      <c r="B231" s="6">
        <f t="shared" si="7"/>
        <v>228</v>
      </c>
      <c r="C231" s="81" t="e">
        <f ca="1">VLOOKUP(B231,Calc!$K$66:$L$76,2,FALSE)</f>
        <v>#N/A</v>
      </c>
      <c r="D231" s="81" t="e">
        <f ca="1">VLOOKUP(B231,Calc!$K$77:$L$87,2,FALSE)</f>
        <v>#N/A</v>
      </c>
      <c r="E231" s="523" t="e">
        <f ca="1">VLOOKUP(B231,Calc!$K$88:$L$98,2,FALSE)</f>
        <v>#N/A</v>
      </c>
      <c r="F231" s="523" t="e">
        <f ca="1">IF(Errorhandling!$C$42,INDEX(Calc!$J$99:$J$109,MATCH(Display!B231,Calc!$K$99:$K$109,0),1),#N/A)</f>
        <v>#N/A</v>
      </c>
    </row>
    <row r="232" spans="2:6" x14ac:dyDescent="0.2">
      <c r="B232" s="6">
        <f t="shared" si="7"/>
        <v>229</v>
      </c>
      <c r="C232" s="81" t="e">
        <f ca="1">VLOOKUP(B232,Calc!$K$66:$L$76,2,FALSE)</f>
        <v>#N/A</v>
      </c>
      <c r="D232" s="81" t="e">
        <f ca="1">VLOOKUP(B232,Calc!$K$77:$L$87,2,FALSE)</f>
        <v>#N/A</v>
      </c>
      <c r="E232" s="523" t="e">
        <f ca="1">VLOOKUP(B232,Calc!$K$88:$L$98,2,FALSE)</f>
        <v>#N/A</v>
      </c>
      <c r="F232" s="523" t="e">
        <f ca="1">IF(Errorhandling!$C$42,INDEX(Calc!$J$99:$J$109,MATCH(Display!B232,Calc!$K$99:$K$109,0),1),#N/A)</f>
        <v>#N/A</v>
      </c>
    </row>
    <row r="233" spans="2:6" x14ac:dyDescent="0.2">
      <c r="B233" s="6">
        <f t="shared" si="7"/>
        <v>230</v>
      </c>
      <c r="C233" s="81" t="e">
        <f ca="1">VLOOKUP(B233,Calc!$K$66:$L$76,2,FALSE)</f>
        <v>#N/A</v>
      </c>
      <c r="D233" s="81" t="e">
        <f ca="1">VLOOKUP(B233,Calc!$K$77:$L$87,2,FALSE)</f>
        <v>#N/A</v>
      </c>
      <c r="E233" s="523" t="e">
        <f ca="1">VLOOKUP(B233,Calc!$K$88:$L$98,2,FALSE)</f>
        <v>#N/A</v>
      </c>
      <c r="F233" s="523" t="e">
        <f ca="1">IF(Errorhandling!$C$42,INDEX(Calc!$J$99:$J$109,MATCH(Display!B233,Calc!$K$99:$K$109,0),1),#N/A)</f>
        <v>#N/A</v>
      </c>
    </row>
    <row r="234" spans="2:6" x14ac:dyDescent="0.2">
      <c r="B234" s="6">
        <f t="shared" si="7"/>
        <v>231</v>
      </c>
      <c r="C234" s="81" t="e">
        <f ca="1">VLOOKUP(B234,Calc!$K$66:$L$76,2,FALSE)</f>
        <v>#N/A</v>
      </c>
      <c r="D234" s="81" t="e">
        <f ca="1">VLOOKUP(B234,Calc!$K$77:$L$87,2,FALSE)</f>
        <v>#N/A</v>
      </c>
      <c r="E234" s="523" t="e">
        <f ca="1">VLOOKUP(B234,Calc!$K$88:$L$98,2,FALSE)</f>
        <v>#N/A</v>
      </c>
      <c r="F234" s="523" t="e">
        <f ca="1">IF(Errorhandling!$C$42,INDEX(Calc!$J$99:$J$109,MATCH(Display!B234,Calc!$K$99:$K$109,0),1),#N/A)</f>
        <v>#N/A</v>
      </c>
    </row>
    <row r="235" spans="2:6" x14ac:dyDescent="0.2">
      <c r="B235" s="6">
        <f t="shared" si="7"/>
        <v>232</v>
      </c>
      <c r="C235" s="81" t="e">
        <f ca="1">VLOOKUP(B235,Calc!$K$66:$L$76,2,FALSE)</f>
        <v>#N/A</v>
      </c>
      <c r="D235" s="81" t="e">
        <f ca="1">VLOOKUP(B235,Calc!$K$77:$L$87,2,FALSE)</f>
        <v>#N/A</v>
      </c>
      <c r="E235" s="523" t="e">
        <f ca="1">VLOOKUP(B235,Calc!$K$88:$L$98,2,FALSE)</f>
        <v>#N/A</v>
      </c>
      <c r="F235" s="523" t="e">
        <f ca="1">IF(Errorhandling!$C$42,INDEX(Calc!$J$99:$J$109,MATCH(Display!B235,Calc!$K$99:$K$109,0),1),#N/A)</f>
        <v>#N/A</v>
      </c>
    </row>
    <row r="236" spans="2:6" x14ac:dyDescent="0.2">
      <c r="B236" s="6">
        <f t="shared" si="7"/>
        <v>233</v>
      </c>
      <c r="C236" s="81" t="e">
        <f ca="1">VLOOKUP(B236,Calc!$K$66:$L$76,2,FALSE)</f>
        <v>#N/A</v>
      </c>
      <c r="D236" s="81" t="e">
        <f ca="1">VLOOKUP(B236,Calc!$K$77:$L$87,2,FALSE)</f>
        <v>#N/A</v>
      </c>
      <c r="E236" s="523" t="e">
        <f ca="1">VLOOKUP(B236,Calc!$K$88:$L$98,2,FALSE)</f>
        <v>#N/A</v>
      </c>
      <c r="F236" s="523" t="e">
        <f ca="1">IF(Errorhandling!$C$42,INDEX(Calc!$J$99:$J$109,MATCH(Display!B236,Calc!$K$99:$K$109,0),1),#N/A)</f>
        <v>#N/A</v>
      </c>
    </row>
    <row r="237" spans="2:6" x14ac:dyDescent="0.2">
      <c r="B237" s="6">
        <f t="shared" si="7"/>
        <v>234</v>
      </c>
      <c r="C237" s="81" t="e">
        <f ca="1">VLOOKUP(B237,Calc!$K$66:$L$76,2,FALSE)</f>
        <v>#N/A</v>
      </c>
      <c r="D237" s="81" t="e">
        <f ca="1">VLOOKUP(B237,Calc!$K$77:$L$87,2,FALSE)</f>
        <v>#N/A</v>
      </c>
      <c r="E237" s="523" t="e">
        <f ca="1">VLOOKUP(B237,Calc!$K$88:$L$98,2,FALSE)</f>
        <v>#N/A</v>
      </c>
      <c r="F237" s="523" t="e">
        <f ca="1">IF(Errorhandling!$C$42,INDEX(Calc!$J$99:$J$109,MATCH(Display!B237,Calc!$K$99:$K$109,0),1),#N/A)</f>
        <v>#N/A</v>
      </c>
    </row>
    <row r="238" spans="2:6" x14ac:dyDescent="0.2">
      <c r="B238" s="6">
        <f t="shared" si="7"/>
        <v>235</v>
      </c>
      <c r="C238" s="81" t="e">
        <f ca="1">VLOOKUP(B238,Calc!$K$66:$L$76,2,FALSE)</f>
        <v>#N/A</v>
      </c>
      <c r="D238" s="81" t="e">
        <f ca="1">VLOOKUP(B238,Calc!$K$77:$L$87,2,FALSE)</f>
        <v>#N/A</v>
      </c>
      <c r="E238" s="523" t="e">
        <f ca="1">VLOOKUP(B238,Calc!$K$88:$L$98,2,FALSE)</f>
        <v>#N/A</v>
      </c>
      <c r="F238" s="523" t="e">
        <f ca="1">IF(Errorhandling!$C$42,INDEX(Calc!$J$99:$J$109,MATCH(Display!B238,Calc!$K$99:$K$109,0),1),#N/A)</f>
        <v>#N/A</v>
      </c>
    </row>
    <row r="239" spans="2:6" x14ac:dyDescent="0.2">
      <c r="B239" s="6">
        <f t="shared" si="7"/>
        <v>236</v>
      </c>
      <c r="C239" s="81" t="e">
        <f ca="1">VLOOKUP(B239,Calc!$K$66:$L$76,2,FALSE)</f>
        <v>#N/A</v>
      </c>
      <c r="D239" s="81" t="e">
        <f ca="1">VLOOKUP(B239,Calc!$K$77:$L$87,2,FALSE)</f>
        <v>#N/A</v>
      </c>
      <c r="E239" s="523" t="e">
        <f ca="1">VLOOKUP(B239,Calc!$K$88:$L$98,2,FALSE)</f>
        <v>#N/A</v>
      </c>
      <c r="F239" s="523" t="e">
        <f ca="1">IF(Errorhandling!$C$42,INDEX(Calc!$J$99:$J$109,MATCH(Display!B239,Calc!$K$99:$K$109,0),1),#N/A)</f>
        <v>#N/A</v>
      </c>
    </row>
    <row r="240" spans="2:6" x14ac:dyDescent="0.2">
      <c r="B240" s="6">
        <f t="shared" si="7"/>
        <v>237</v>
      </c>
      <c r="C240" s="81" t="e">
        <f ca="1">VLOOKUP(B240,Calc!$K$66:$L$76,2,FALSE)</f>
        <v>#N/A</v>
      </c>
      <c r="D240" s="81" t="e">
        <f ca="1">VLOOKUP(B240,Calc!$K$77:$L$87,2,FALSE)</f>
        <v>#N/A</v>
      </c>
      <c r="E240" s="523" t="e">
        <f ca="1">VLOOKUP(B240,Calc!$K$88:$L$98,2,FALSE)</f>
        <v>#N/A</v>
      </c>
      <c r="F240" s="523" t="e">
        <f ca="1">IF(Errorhandling!$C$42,INDEX(Calc!$J$99:$J$109,MATCH(Display!B240,Calc!$K$99:$K$109,0),1),#N/A)</f>
        <v>#N/A</v>
      </c>
    </row>
    <row r="241" spans="2:6" x14ac:dyDescent="0.2">
      <c r="B241" s="6">
        <f t="shared" si="7"/>
        <v>238</v>
      </c>
      <c r="C241" s="81" t="e">
        <f ca="1">VLOOKUP(B241,Calc!$K$66:$L$76,2,FALSE)</f>
        <v>#N/A</v>
      </c>
      <c r="D241" s="81" t="e">
        <f ca="1">VLOOKUP(B241,Calc!$K$77:$L$87,2,FALSE)</f>
        <v>#N/A</v>
      </c>
      <c r="E241" s="523" t="e">
        <f ca="1">VLOOKUP(B241,Calc!$K$88:$L$98,2,FALSE)</f>
        <v>#N/A</v>
      </c>
      <c r="F241" s="523" t="e">
        <f ca="1">IF(Errorhandling!$C$42,INDEX(Calc!$J$99:$J$109,MATCH(Display!B241,Calc!$K$99:$K$109,0),1),#N/A)</f>
        <v>#N/A</v>
      </c>
    </row>
    <row r="242" spans="2:6" x14ac:dyDescent="0.2">
      <c r="B242" s="6">
        <f t="shared" si="7"/>
        <v>239</v>
      </c>
      <c r="C242" s="81" t="e">
        <f ca="1">VLOOKUP(B242,Calc!$K$66:$L$76,2,FALSE)</f>
        <v>#N/A</v>
      </c>
      <c r="D242" s="81" t="e">
        <f ca="1">VLOOKUP(B242,Calc!$K$77:$L$87,2,FALSE)</f>
        <v>#N/A</v>
      </c>
      <c r="E242" s="523" t="e">
        <f ca="1">VLOOKUP(B242,Calc!$K$88:$L$98,2,FALSE)</f>
        <v>#N/A</v>
      </c>
      <c r="F242" s="523" t="e">
        <f ca="1">IF(Errorhandling!$C$42,INDEX(Calc!$J$99:$J$109,MATCH(Display!B242,Calc!$K$99:$K$109,0),1),#N/A)</f>
        <v>#N/A</v>
      </c>
    </row>
    <row r="243" spans="2:6" x14ac:dyDescent="0.2">
      <c r="B243" s="6">
        <f t="shared" si="7"/>
        <v>240</v>
      </c>
      <c r="C243" s="81" t="e">
        <f ca="1">VLOOKUP(B243,Calc!$K$66:$L$76,2,FALSE)</f>
        <v>#N/A</v>
      </c>
      <c r="D243" s="81" t="e">
        <f ca="1">VLOOKUP(B243,Calc!$K$77:$L$87,2,FALSE)</f>
        <v>#N/A</v>
      </c>
      <c r="E243" s="523" t="e">
        <f ca="1">VLOOKUP(B243,Calc!$K$88:$L$98,2,FALSE)</f>
        <v>#N/A</v>
      </c>
      <c r="F243" s="523" t="e">
        <f ca="1">IF(Errorhandling!$C$42,INDEX(Calc!$J$99:$J$109,MATCH(Display!B243,Calc!$K$99:$K$109,0),1),#N/A)</f>
        <v>#N/A</v>
      </c>
    </row>
    <row r="244" spans="2:6" x14ac:dyDescent="0.2">
      <c r="B244" s="6">
        <f t="shared" si="7"/>
        <v>241</v>
      </c>
      <c r="C244" s="81" t="e">
        <f ca="1">VLOOKUP(B244,Calc!$K$66:$L$76,2,FALSE)</f>
        <v>#N/A</v>
      </c>
      <c r="D244" s="81" t="e">
        <f ca="1">VLOOKUP(B244,Calc!$K$77:$L$87,2,FALSE)</f>
        <v>#N/A</v>
      </c>
      <c r="E244" s="523" t="e">
        <f ca="1">VLOOKUP(B244,Calc!$K$88:$L$98,2,FALSE)</f>
        <v>#N/A</v>
      </c>
      <c r="F244" s="523" t="e">
        <f ca="1">IF(Errorhandling!$C$42,INDEX(Calc!$J$99:$J$109,MATCH(Display!B244,Calc!$K$99:$K$109,0),1),#N/A)</f>
        <v>#N/A</v>
      </c>
    </row>
    <row r="245" spans="2:6" x14ac:dyDescent="0.2">
      <c r="B245" s="6">
        <f t="shared" si="7"/>
        <v>242</v>
      </c>
      <c r="C245" s="81" t="e">
        <f ca="1">VLOOKUP(B245,Calc!$K$66:$L$76,2,FALSE)</f>
        <v>#N/A</v>
      </c>
      <c r="D245" s="81" t="e">
        <f ca="1">VLOOKUP(B245,Calc!$K$77:$L$87,2,FALSE)</f>
        <v>#N/A</v>
      </c>
      <c r="E245" s="523" t="e">
        <f ca="1">VLOOKUP(B245,Calc!$K$88:$L$98,2,FALSE)</f>
        <v>#N/A</v>
      </c>
      <c r="F245" s="523" t="e">
        <f ca="1">IF(Errorhandling!$C$42,INDEX(Calc!$J$99:$J$109,MATCH(Display!B245,Calc!$K$99:$K$109,0),1),#N/A)</f>
        <v>#N/A</v>
      </c>
    </row>
    <row r="246" spans="2:6" x14ac:dyDescent="0.2">
      <c r="B246" s="6">
        <f t="shared" si="7"/>
        <v>243</v>
      </c>
      <c r="C246" s="81" t="e">
        <f ca="1">VLOOKUP(B246,Calc!$K$66:$L$76,2,FALSE)</f>
        <v>#N/A</v>
      </c>
      <c r="D246" s="81" t="e">
        <f ca="1">VLOOKUP(B246,Calc!$K$77:$L$87,2,FALSE)</f>
        <v>#N/A</v>
      </c>
      <c r="E246" s="523" t="e">
        <f ca="1">VLOOKUP(B246,Calc!$K$88:$L$98,2,FALSE)</f>
        <v>#N/A</v>
      </c>
      <c r="F246" s="523" t="e">
        <f ca="1">IF(Errorhandling!$C$42,INDEX(Calc!$J$99:$J$109,MATCH(Display!B246,Calc!$K$99:$K$109,0),1),#N/A)</f>
        <v>#N/A</v>
      </c>
    </row>
    <row r="247" spans="2:6" x14ac:dyDescent="0.2">
      <c r="B247" s="6">
        <f t="shared" si="7"/>
        <v>244</v>
      </c>
      <c r="C247" s="81" t="e">
        <f ca="1">VLOOKUP(B247,Calc!$K$66:$L$76,2,FALSE)</f>
        <v>#N/A</v>
      </c>
      <c r="D247" s="81" t="e">
        <f ca="1">VLOOKUP(B247,Calc!$K$77:$L$87,2,FALSE)</f>
        <v>#N/A</v>
      </c>
      <c r="E247" s="523" t="e">
        <f ca="1">VLOOKUP(B247,Calc!$K$88:$L$98,2,FALSE)</f>
        <v>#N/A</v>
      </c>
      <c r="F247" s="523" t="e">
        <f ca="1">IF(Errorhandling!$C$42,INDEX(Calc!$J$99:$J$109,MATCH(Display!B247,Calc!$K$99:$K$109,0),1),#N/A)</f>
        <v>#N/A</v>
      </c>
    </row>
    <row r="248" spans="2:6" x14ac:dyDescent="0.2">
      <c r="B248" s="6">
        <f t="shared" si="7"/>
        <v>245</v>
      </c>
      <c r="C248" s="81" t="e">
        <f ca="1">VLOOKUP(B248,Calc!$K$66:$L$76,2,FALSE)</f>
        <v>#N/A</v>
      </c>
      <c r="D248" s="81" t="e">
        <f ca="1">VLOOKUP(B248,Calc!$K$77:$L$87,2,FALSE)</f>
        <v>#N/A</v>
      </c>
      <c r="E248" s="523" t="e">
        <f ca="1">VLOOKUP(B248,Calc!$K$88:$L$98,2,FALSE)</f>
        <v>#N/A</v>
      </c>
      <c r="F248" s="523" t="e">
        <f ca="1">IF(Errorhandling!$C$42,INDEX(Calc!$J$99:$J$109,MATCH(Display!B248,Calc!$K$99:$K$109,0),1),#N/A)</f>
        <v>#N/A</v>
      </c>
    </row>
    <row r="249" spans="2:6" x14ac:dyDescent="0.2">
      <c r="B249" s="6">
        <f t="shared" si="7"/>
        <v>246</v>
      </c>
      <c r="C249" s="81" t="e">
        <f ca="1">VLOOKUP(B249,Calc!$K$66:$L$76,2,FALSE)</f>
        <v>#N/A</v>
      </c>
      <c r="D249" s="81" t="e">
        <f ca="1">VLOOKUP(B249,Calc!$K$77:$L$87,2,FALSE)</f>
        <v>#N/A</v>
      </c>
      <c r="E249" s="523" t="e">
        <f ca="1">VLOOKUP(B249,Calc!$K$88:$L$98,2,FALSE)</f>
        <v>#N/A</v>
      </c>
      <c r="F249" s="523" t="e">
        <f ca="1">IF(Errorhandling!$C$42,INDEX(Calc!$J$99:$J$109,MATCH(Display!B249,Calc!$K$99:$K$109,0),1),#N/A)</f>
        <v>#N/A</v>
      </c>
    </row>
    <row r="250" spans="2:6" x14ac:dyDescent="0.2">
      <c r="B250" s="6">
        <f t="shared" si="7"/>
        <v>247</v>
      </c>
      <c r="C250" s="81" t="e">
        <f ca="1">VLOOKUP(B250,Calc!$K$66:$L$76,2,FALSE)</f>
        <v>#N/A</v>
      </c>
      <c r="D250" s="81" t="e">
        <f ca="1">VLOOKUP(B250,Calc!$K$77:$L$87,2,FALSE)</f>
        <v>#N/A</v>
      </c>
      <c r="E250" s="523" t="e">
        <f ca="1">VLOOKUP(B250,Calc!$K$88:$L$98,2,FALSE)</f>
        <v>#N/A</v>
      </c>
      <c r="F250" s="523" t="e">
        <f ca="1">IF(Errorhandling!$C$42,INDEX(Calc!$J$99:$J$109,MATCH(Display!B250,Calc!$K$99:$K$109,0),1),#N/A)</f>
        <v>#N/A</v>
      </c>
    </row>
    <row r="251" spans="2:6" x14ac:dyDescent="0.2">
      <c r="B251" s="6">
        <f t="shared" si="7"/>
        <v>248</v>
      </c>
      <c r="C251" s="81" t="e">
        <f ca="1">VLOOKUP(B251,Calc!$K$66:$L$76,2,FALSE)</f>
        <v>#N/A</v>
      </c>
      <c r="D251" s="81" t="e">
        <f ca="1">VLOOKUP(B251,Calc!$K$77:$L$87,2,FALSE)</f>
        <v>#N/A</v>
      </c>
      <c r="E251" s="523" t="e">
        <f ca="1">VLOOKUP(B251,Calc!$K$88:$L$98,2,FALSE)</f>
        <v>#N/A</v>
      </c>
      <c r="F251" s="523" t="e">
        <f ca="1">IF(Errorhandling!$C$42,INDEX(Calc!$J$99:$J$109,MATCH(Display!B251,Calc!$K$99:$K$109,0),1),#N/A)</f>
        <v>#N/A</v>
      </c>
    </row>
    <row r="252" spans="2:6" x14ac:dyDescent="0.2">
      <c r="B252" s="6">
        <f t="shared" si="7"/>
        <v>249</v>
      </c>
      <c r="C252" s="81" t="e">
        <f ca="1">VLOOKUP(B252,Calc!$K$66:$L$76,2,FALSE)</f>
        <v>#N/A</v>
      </c>
      <c r="D252" s="81" t="e">
        <f ca="1">VLOOKUP(B252,Calc!$K$77:$L$87,2,FALSE)</f>
        <v>#N/A</v>
      </c>
      <c r="E252" s="523" t="e">
        <f ca="1">VLOOKUP(B252,Calc!$K$88:$L$98,2,FALSE)</f>
        <v>#N/A</v>
      </c>
      <c r="F252" s="523" t="e">
        <f ca="1">IF(Errorhandling!$C$42,INDEX(Calc!$J$99:$J$109,MATCH(Display!B252,Calc!$K$99:$K$109,0),1),#N/A)</f>
        <v>#N/A</v>
      </c>
    </row>
    <row r="253" spans="2:6" x14ac:dyDescent="0.2">
      <c r="B253" s="6">
        <f t="shared" si="7"/>
        <v>250</v>
      </c>
      <c r="C253" s="81" t="e">
        <f ca="1">VLOOKUP(B253,Calc!$K$66:$L$76,2,FALSE)</f>
        <v>#N/A</v>
      </c>
      <c r="D253" s="81" t="e">
        <f ca="1">VLOOKUP(B253,Calc!$K$77:$L$87,2,FALSE)</f>
        <v>#N/A</v>
      </c>
      <c r="E253" s="523" t="e">
        <f ca="1">VLOOKUP(B253,Calc!$K$88:$L$98,2,FALSE)</f>
        <v>#N/A</v>
      </c>
      <c r="F253" s="523" t="e">
        <f ca="1">IF(Errorhandling!$C$42,INDEX(Calc!$J$99:$J$109,MATCH(Display!B253,Calc!$K$99:$K$109,0),1),#N/A)</f>
        <v>#N/A</v>
      </c>
    </row>
    <row r="254" spans="2:6" x14ac:dyDescent="0.2">
      <c r="B254" s="6">
        <f t="shared" si="7"/>
        <v>251</v>
      </c>
      <c r="C254" s="81" t="e">
        <f ca="1">VLOOKUP(B254,Calc!$K$66:$L$76,2,FALSE)</f>
        <v>#N/A</v>
      </c>
      <c r="D254" s="81" t="e">
        <f ca="1">VLOOKUP(B254,Calc!$K$77:$L$87,2,FALSE)</f>
        <v>#N/A</v>
      </c>
      <c r="E254" s="523" t="e">
        <f ca="1">VLOOKUP(B254,Calc!$K$88:$L$98,2,FALSE)</f>
        <v>#N/A</v>
      </c>
      <c r="F254" s="523" t="e">
        <f ca="1">IF(Errorhandling!$C$42,INDEX(Calc!$J$99:$J$109,MATCH(Display!B254,Calc!$K$99:$K$109,0),1),#N/A)</f>
        <v>#N/A</v>
      </c>
    </row>
    <row r="255" spans="2:6" x14ac:dyDescent="0.2">
      <c r="B255" s="6">
        <f t="shared" si="7"/>
        <v>252</v>
      </c>
      <c r="C255" s="81" t="e">
        <f ca="1">VLOOKUP(B255,Calc!$K$66:$L$76,2,FALSE)</f>
        <v>#N/A</v>
      </c>
      <c r="D255" s="81" t="e">
        <f ca="1">VLOOKUP(B255,Calc!$K$77:$L$87,2,FALSE)</f>
        <v>#N/A</v>
      </c>
      <c r="E255" s="523" t="e">
        <f ca="1">VLOOKUP(B255,Calc!$K$88:$L$98,2,FALSE)</f>
        <v>#N/A</v>
      </c>
      <c r="F255" s="523" t="e">
        <f ca="1">IF(Errorhandling!$C$42,INDEX(Calc!$J$99:$J$109,MATCH(Display!B255,Calc!$K$99:$K$109,0),1),#N/A)</f>
        <v>#N/A</v>
      </c>
    </row>
    <row r="256" spans="2:6" x14ac:dyDescent="0.2">
      <c r="B256" s="6">
        <f t="shared" si="7"/>
        <v>253</v>
      </c>
      <c r="C256" s="81" t="e">
        <f ca="1">VLOOKUP(B256,Calc!$K$66:$L$76,2,FALSE)</f>
        <v>#N/A</v>
      </c>
      <c r="D256" s="81" t="e">
        <f ca="1">VLOOKUP(B256,Calc!$K$77:$L$87,2,FALSE)</f>
        <v>#N/A</v>
      </c>
      <c r="E256" s="523" t="e">
        <f ca="1">VLOOKUP(B256,Calc!$K$88:$L$98,2,FALSE)</f>
        <v>#N/A</v>
      </c>
      <c r="F256" s="523" t="e">
        <f ca="1">IF(Errorhandling!$C$42,INDEX(Calc!$J$99:$J$109,MATCH(Display!B256,Calc!$K$99:$K$109,0),1),#N/A)</f>
        <v>#N/A</v>
      </c>
    </row>
    <row r="257" spans="2:6" x14ac:dyDescent="0.2">
      <c r="B257" s="6">
        <f t="shared" si="7"/>
        <v>254</v>
      </c>
      <c r="C257" s="81" t="e">
        <f ca="1">VLOOKUP(B257,Calc!$K$66:$L$76,2,FALSE)</f>
        <v>#N/A</v>
      </c>
      <c r="D257" s="81" t="e">
        <f ca="1">VLOOKUP(B257,Calc!$K$77:$L$87,2,FALSE)</f>
        <v>#N/A</v>
      </c>
      <c r="E257" s="523" t="e">
        <f ca="1">VLOOKUP(B257,Calc!$K$88:$L$98,2,FALSE)</f>
        <v>#N/A</v>
      </c>
      <c r="F257" s="523" t="e">
        <f ca="1">IF(Errorhandling!$C$42,INDEX(Calc!$J$99:$J$109,MATCH(Display!B257,Calc!$K$99:$K$109,0),1),#N/A)</f>
        <v>#N/A</v>
      </c>
    </row>
    <row r="258" spans="2:6" x14ac:dyDescent="0.2">
      <c r="B258" s="6">
        <f t="shared" si="7"/>
        <v>255</v>
      </c>
      <c r="C258" s="81" t="e">
        <f ca="1">VLOOKUP(B258,Calc!$K$66:$L$76,2,FALSE)</f>
        <v>#N/A</v>
      </c>
      <c r="D258" s="81" t="e">
        <f ca="1">VLOOKUP(B258,Calc!$K$77:$L$87,2,FALSE)</f>
        <v>#N/A</v>
      </c>
      <c r="E258" s="523" t="e">
        <f ca="1">VLOOKUP(B258,Calc!$K$88:$L$98,2,FALSE)</f>
        <v>#N/A</v>
      </c>
      <c r="F258" s="523" t="e">
        <f ca="1">IF(Errorhandling!$C$42,INDEX(Calc!$J$99:$J$109,MATCH(Display!B258,Calc!$K$99:$K$109,0),1),#N/A)</f>
        <v>#N/A</v>
      </c>
    </row>
    <row r="259" spans="2:6" x14ac:dyDescent="0.2">
      <c r="B259" s="6">
        <f t="shared" si="7"/>
        <v>256</v>
      </c>
      <c r="C259" s="81" t="e">
        <f ca="1">VLOOKUP(B259,Calc!$K$66:$L$76,2,FALSE)</f>
        <v>#N/A</v>
      </c>
      <c r="D259" s="81" t="e">
        <f ca="1">VLOOKUP(B259,Calc!$K$77:$L$87,2,FALSE)</f>
        <v>#N/A</v>
      </c>
      <c r="E259" s="523" t="e">
        <f ca="1">VLOOKUP(B259,Calc!$K$88:$L$98,2,FALSE)</f>
        <v>#N/A</v>
      </c>
      <c r="F259" s="523" t="e">
        <f ca="1">IF(Errorhandling!$C$42,INDEX(Calc!$J$99:$J$109,MATCH(Display!B259,Calc!$K$99:$K$109,0),1),#N/A)</f>
        <v>#N/A</v>
      </c>
    </row>
    <row r="260" spans="2:6" x14ac:dyDescent="0.2">
      <c r="B260" s="6">
        <f t="shared" si="7"/>
        <v>257</v>
      </c>
      <c r="C260" s="81" t="e">
        <f ca="1">VLOOKUP(B260,Calc!$K$66:$L$76,2,FALSE)</f>
        <v>#N/A</v>
      </c>
      <c r="D260" s="81" t="e">
        <f ca="1">VLOOKUP(B260,Calc!$K$77:$L$87,2,FALSE)</f>
        <v>#N/A</v>
      </c>
      <c r="E260" s="523" t="e">
        <f ca="1">VLOOKUP(B260,Calc!$K$88:$L$98,2,FALSE)</f>
        <v>#N/A</v>
      </c>
      <c r="F260" s="523" t="e">
        <f ca="1">IF(Errorhandling!$C$42,INDEX(Calc!$J$99:$J$109,MATCH(Display!B260,Calc!$K$99:$K$109,0),1),#N/A)</f>
        <v>#N/A</v>
      </c>
    </row>
    <row r="261" spans="2:6" x14ac:dyDescent="0.2">
      <c r="B261" s="6">
        <f t="shared" si="7"/>
        <v>258</v>
      </c>
      <c r="C261" s="81" t="e">
        <f ca="1">VLOOKUP(B261,Calc!$K$66:$L$76,2,FALSE)</f>
        <v>#N/A</v>
      </c>
      <c r="D261" s="81" t="e">
        <f ca="1">VLOOKUP(B261,Calc!$K$77:$L$87,2,FALSE)</f>
        <v>#N/A</v>
      </c>
      <c r="E261" s="523" t="e">
        <f ca="1">VLOOKUP(B261,Calc!$K$88:$L$98,2,FALSE)</f>
        <v>#N/A</v>
      </c>
      <c r="F261" s="523" t="e">
        <f ca="1">IF(Errorhandling!$C$42,INDEX(Calc!$J$99:$J$109,MATCH(Display!B261,Calc!$K$99:$K$109,0),1),#N/A)</f>
        <v>#N/A</v>
      </c>
    </row>
    <row r="262" spans="2:6" x14ac:dyDescent="0.2">
      <c r="B262" s="6">
        <f t="shared" ref="B262:B325" si="8">1+B261</f>
        <v>259</v>
      </c>
      <c r="C262" s="81" t="e">
        <f ca="1">VLOOKUP(B262,Calc!$K$66:$L$76,2,FALSE)</f>
        <v>#N/A</v>
      </c>
      <c r="D262" s="81" t="e">
        <f ca="1">VLOOKUP(B262,Calc!$K$77:$L$87,2,FALSE)</f>
        <v>#N/A</v>
      </c>
      <c r="E262" s="523" t="e">
        <f ca="1">VLOOKUP(B262,Calc!$K$88:$L$98,2,FALSE)</f>
        <v>#N/A</v>
      </c>
      <c r="F262" s="523" t="e">
        <f ca="1">IF(Errorhandling!$C$42,INDEX(Calc!$J$99:$J$109,MATCH(Display!B262,Calc!$K$99:$K$109,0),1),#N/A)</f>
        <v>#N/A</v>
      </c>
    </row>
    <row r="263" spans="2:6" x14ac:dyDescent="0.2">
      <c r="B263" s="6">
        <f t="shared" si="8"/>
        <v>260</v>
      </c>
      <c r="C263" s="81" t="e">
        <f ca="1">VLOOKUP(B263,Calc!$K$66:$L$76,2,FALSE)</f>
        <v>#N/A</v>
      </c>
      <c r="D263" s="81" t="e">
        <f ca="1">VLOOKUP(B263,Calc!$K$77:$L$87,2,FALSE)</f>
        <v>#N/A</v>
      </c>
      <c r="E263" s="523" t="e">
        <f ca="1">VLOOKUP(B263,Calc!$K$88:$L$98,2,FALSE)</f>
        <v>#N/A</v>
      </c>
      <c r="F263" s="523" t="e">
        <f ca="1">IF(Errorhandling!$C$42,INDEX(Calc!$J$99:$J$109,MATCH(Display!B263,Calc!$K$99:$K$109,0),1),#N/A)</f>
        <v>#N/A</v>
      </c>
    </row>
    <row r="264" spans="2:6" x14ac:dyDescent="0.2">
      <c r="B264" s="6">
        <f t="shared" si="8"/>
        <v>261</v>
      </c>
      <c r="C264" s="81" t="e">
        <f ca="1">VLOOKUP(B264,Calc!$K$66:$L$76,2,FALSE)</f>
        <v>#N/A</v>
      </c>
      <c r="D264" s="81" t="e">
        <f ca="1">VLOOKUP(B264,Calc!$K$77:$L$87,2,FALSE)</f>
        <v>#N/A</v>
      </c>
      <c r="E264" s="523" t="e">
        <f ca="1">VLOOKUP(B264,Calc!$K$88:$L$98,2,FALSE)</f>
        <v>#N/A</v>
      </c>
      <c r="F264" s="523" t="e">
        <f ca="1">IF(Errorhandling!$C$42,INDEX(Calc!$J$99:$J$109,MATCH(Display!B264,Calc!$K$99:$K$109,0),1),#N/A)</f>
        <v>#N/A</v>
      </c>
    </row>
    <row r="265" spans="2:6" x14ac:dyDescent="0.2">
      <c r="B265" s="6">
        <f t="shared" si="8"/>
        <v>262</v>
      </c>
      <c r="C265" s="81" t="e">
        <f ca="1">VLOOKUP(B265,Calc!$K$66:$L$76,2,FALSE)</f>
        <v>#N/A</v>
      </c>
      <c r="D265" s="81" t="e">
        <f ca="1">VLOOKUP(B265,Calc!$K$77:$L$87,2,FALSE)</f>
        <v>#N/A</v>
      </c>
      <c r="E265" s="523" t="e">
        <f ca="1">VLOOKUP(B265,Calc!$K$88:$L$98,2,FALSE)</f>
        <v>#N/A</v>
      </c>
      <c r="F265" s="523" t="e">
        <f ca="1">IF(Errorhandling!$C$42,INDEX(Calc!$J$99:$J$109,MATCH(Display!B265,Calc!$K$99:$K$109,0),1),#N/A)</f>
        <v>#N/A</v>
      </c>
    </row>
    <row r="266" spans="2:6" x14ac:dyDescent="0.2">
      <c r="B266" s="6">
        <f t="shared" si="8"/>
        <v>263</v>
      </c>
      <c r="C266" s="81" t="e">
        <f ca="1">VLOOKUP(B266,Calc!$K$66:$L$76,2,FALSE)</f>
        <v>#N/A</v>
      </c>
      <c r="D266" s="81" t="e">
        <f ca="1">VLOOKUP(B266,Calc!$K$77:$L$87,2,FALSE)</f>
        <v>#N/A</v>
      </c>
      <c r="E266" s="523" t="e">
        <f ca="1">VLOOKUP(B266,Calc!$K$88:$L$98,2,FALSE)</f>
        <v>#N/A</v>
      </c>
      <c r="F266" s="523" t="e">
        <f ca="1">IF(Errorhandling!$C$42,INDEX(Calc!$J$99:$J$109,MATCH(Display!B266,Calc!$K$99:$K$109,0),1),#N/A)</f>
        <v>#N/A</v>
      </c>
    </row>
    <row r="267" spans="2:6" x14ac:dyDescent="0.2">
      <c r="B267" s="6">
        <f t="shared" si="8"/>
        <v>264</v>
      </c>
      <c r="C267" s="81" t="e">
        <f ca="1">VLOOKUP(B267,Calc!$K$66:$L$76,2,FALSE)</f>
        <v>#N/A</v>
      </c>
      <c r="D267" s="81" t="e">
        <f ca="1">VLOOKUP(B267,Calc!$K$77:$L$87,2,FALSE)</f>
        <v>#N/A</v>
      </c>
      <c r="E267" s="523" t="e">
        <f ca="1">VLOOKUP(B267,Calc!$K$88:$L$98,2,FALSE)</f>
        <v>#N/A</v>
      </c>
      <c r="F267" s="523" t="e">
        <f ca="1">IF(Errorhandling!$C$42,INDEX(Calc!$J$99:$J$109,MATCH(Display!B267,Calc!$K$99:$K$109,0),1),#N/A)</f>
        <v>#N/A</v>
      </c>
    </row>
    <row r="268" spans="2:6" x14ac:dyDescent="0.2">
      <c r="B268" s="6">
        <f t="shared" si="8"/>
        <v>265</v>
      </c>
      <c r="C268" s="81" t="e">
        <f ca="1">VLOOKUP(B268,Calc!$K$66:$L$76,2,FALSE)</f>
        <v>#N/A</v>
      </c>
      <c r="D268" s="81" t="e">
        <f ca="1">VLOOKUP(B268,Calc!$K$77:$L$87,2,FALSE)</f>
        <v>#N/A</v>
      </c>
      <c r="E268" s="523" t="e">
        <f ca="1">VLOOKUP(B268,Calc!$K$88:$L$98,2,FALSE)</f>
        <v>#N/A</v>
      </c>
      <c r="F268" s="523" t="e">
        <f ca="1">IF(Errorhandling!$C$42,INDEX(Calc!$J$99:$J$109,MATCH(Display!B268,Calc!$K$99:$K$109,0),1),#N/A)</f>
        <v>#N/A</v>
      </c>
    </row>
    <row r="269" spans="2:6" x14ac:dyDescent="0.2">
      <c r="B269" s="6">
        <f t="shared" si="8"/>
        <v>266</v>
      </c>
      <c r="C269" s="81" t="e">
        <f ca="1">VLOOKUP(B269,Calc!$K$66:$L$76,2,FALSE)</f>
        <v>#N/A</v>
      </c>
      <c r="D269" s="81" t="e">
        <f ca="1">VLOOKUP(B269,Calc!$K$77:$L$87,2,FALSE)</f>
        <v>#N/A</v>
      </c>
      <c r="E269" s="523" t="e">
        <f ca="1">VLOOKUP(B269,Calc!$K$88:$L$98,2,FALSE)</f>
        <v>#N/A</v>
      </c>
      <c r="F269" s="523" t="e">
        <f ca="1">IF(Errorhandling!$C$42,INDEX(Calc!$J$99:$J$109,MATCH(Display!B269,Calc!$K$99:$K$109,0),1),#N/A)</f>
        <v>#N/A</v>
      </c>
    </row>
    <row r="270" spans="2:6" x14ac:dyDescent="0.2">
      <c r="B270" s="6">
        <f t="shared" si="8"/>
        <v>267</v>
      </c>
      <c r="C270" s="81" t="e">
        <f ca="1">VLOOKUP(B270,Calc!$K$66:$L$76,2,FALSE)</f>
        <v>#N/A</v>
      </c>
      <c r="D270" s="81" t="e">
        <f ca="1">VLOOKUP(B270,Calc!$K$77:$L$87,2,FALSE)</f>
        <v>#N/A</v>
      </c>
      <c r="E270" s="523" t="e">
        <f ca="1">VLOOKUP(B270,Calc!$K$88:$L$98,2,FALSE)</f>
        <v>#N/A</v>
      </c>
      <c r="F270" s="523" t="e">
        <f ca="1">IF(Errorhandling!$C$42,INDEX(Calc!$J$99:$J$109,MATCH(Display!B270,Calc!$K$99:$K$109,0),1),#N/A)</f>
        <v>#N/A</v>
      </c>
    </row>
    <row r="271" spans="2:6" x14ac:dyDescent="0.2">
      <c r="B271" s="6">
        <f t="shared" si="8"/>
        <v>268</v>
      </c>
      <c r="C271" s="81" t="e">
        <f ca="1">VLOOKUP(B271,Calc!$K$66:$L$76,2,FALSE)</f>
        <v>#N/A</v>
      </c>
      <c r="D271" s="81" t="e">
        <f ca="1">VLOOKUP(B271,Calc!$K$77:$L$87,2,FALSE)</f>
        <v>#N/A</v>
      </c>
      <c r="E271" s="523" t="e">
        <f ca="1">VLOOKUP(B271,Calc!$K$88:$L$98,2,FALSE)</f>
        <v>#N/A</v>
      </c>
      <c r="F271" s="523" t="e">
        <f ca="1">IF(Errorhandling!$C$42,INDEX(Calc!$J$99:$J$109,MATCH(Display!B271,Calc!$K$99:$K$109,0),1),#N/A)</f>
        <v>#N/A</v>
      </c>
    </row>
    <row r="272" spans="2:6" x14ac:dyDescent="0.2">
      <c r="B272" s="6">
        <f t="shared" si="8"/>
        <v>269</v>
      </c>
      <c r="C272" s="81" t="e">
        <f ca="1">VLOOKUP(B272,Calc!$K$66:$L$76,2,FALSE)</f>
        <v>#N/A</v>
      </c>
      <c r="D272" s="81" t="e">
        <f ca="1">VLOOKUP(B272,Calc!$K$77:$L$87,2,FALSE)</f>
        <v>#N/A</v>
      </c>
      <c r="E272" s="523" t="e">
        <f ca="1">VLOOKUP(B272,Calc!$K$88:$L$98,2,FALSE)</f>
        <v>#N/A</v>
      </c>
      <c r="F272" s="523" t="e">
        <f ca="1">IF(Errorhandling!$C$42,INDEX(Calc!$J$99:$J$109,MATCH(Display!B272,Calc!$K$99:$K$109,0),1),#N/A)</f>
        <v>#N/A</v>
      </c>
    </row>
    <row r="273" spans="2:6" x14ac:dyDescent="0.2">
      <c r="B273" s="6">
        <f t="shared" si="8"/>
        <v>270</v>
      </c>
      <c r="C273" s="81" t="e">
        <f ca="1">VLOOKUP(B273,Calc!$K$66:$L$76,2,FALSE)</f>
        <v>#N/A</v>
      </c>
      <c r="D273" s="81">
        <f ca="1">VLOOKUP(B273,Calc!$K$77:$L$87,2,FALSE)</f>
        <v>194.82169186138324</v>
      </c>
      <c r="E273" s="523" t="e">
        <f ca="1">VLOOKUP(B273,Calc!$K$88:$L$98,2,FALSE)</f>
        <v>#N/A</v>
      </c>
      <c r="F273" s="523" t="e">
        <f ca="1">IF(Errorhandling!$C$42,INDEX(Calc!$J$99:$J$109,MATCH(Display!B273,Calc!$K$99:$K$109,0),1),#N/A)</f>
        <v>#N/A</v>
      </c>
    </row>
    <row r="274" spans="2:6" x14ac:dyDescent="0.2">
      <c r="B274" s="6">
        <f t="shared" si="8"/>
        <v>271</v>
      </c>
      <c r="C274" s="81" t="e">
        <f ca="1">VLOOKUP(B274,Calc!$K$66:$L$76,2,FALSE)</f>
        <v>#N/A</v>
      </c>
      <c r="D274" s="81" t="e">
        <f ca="1">VLOOKUP(B274,Calc!$K$77:$L$87,2,FALSE)</f>
        <v>#N/A</v>
      </c>
      <c r="E274" s="523" t="e">
        <f ca="1">VLOOKUP(B274,Calc!$K$88:$L$98,2,FALSE)</f>
        <v>#N/A</v>
      </c>
      <c r="F274" s="523" t="e">
        <f ca="1">IF(Errorhandling!$C$42,INDEX(Calc!$J$99:$J$109,MATCH(Display!B274,Calc!$K$99:$K$109,0),1),#N/A)</f>
        <v>#N/A</v>
      </c>
    </row>
    <row r="275" spans="2:6" x14ac:dyDescent="0.2">
      <c r="B275" s="6">
        <f t="shared" si="8"/>
        <v>272</v>
      </c>
      <c r="C275" s="81" t="e">
        <f ca="1">VLOOKUP(B275,Calc!$K$66:$L$76,2,FALSE)</f>
        <v>#N/A</v>
      </c>
      <c r="D275" s="81" t="e">
        <f ca="1">VLOOKUP(B275,Calc!$K$77:$L$87,2,FALSE)</f>
        <v>#N/A</v>
      </c>
      <c r="E275" s="523" t="e">
        <f ca="1">VLOOKUP(B275,Calc!$K$88:$L$98,2,FALSE)</f>
        <v>#N/A</v>
      </c>
      <c r="F275" s="523" t="e">
        <f ca="1">IF(Errorhandling!$C$42,INDEX(Calc!$J$99:$J$109,MATCH(Display!B275,Calc!$K$99:$K$109,0),1),#N/A)</f>
        <v>#N/A</v>
      </c>
    </row>
    <row r="276" spans="2:6" x14ac:dyDescent="0.2">
      <c r="B276" s="6">
        <f t="shared" si="8"/>
        <v>273</v>
      </c>
      <c r="C276" s="81" t="e">
        <f ca="1">VLOOKUP(B276,Calc!$K$66:$L$76,2,FALSE)</f>
        <v>#N/A</v>
      </c>
      <c r="D276" s="81" t="e">
        <f ca="1">VLOOKUP(B276,Calc!$K$77:$L$87,2,FALSE)</f>
        <v>#N/A</v>
      </c>
      <c r="E276" s="523" t="e">
        <f ca="1">VLOOKUP(B276,Calc!$K$88:$L$98,2,FALSE)</f>
        <v>#N/A</v>
      </c>
      <c r="F276" s="523" t="e">
        <f ca="1">IF(Errorhandling!$C$42,INDEX(Calc!$J$99:$J$109,MATCH(Display!B276,Calc!$K$99:$K$109,0),1),#N/A)</f>
        <v>#N/A</v>
      </c>
    </row>
    <row r="277" spans="2:6" x14ac:dyDescent="0.2">
      <c r="B277" s="6">
        <f t="shared" si="8"/>
        <v>274</v>
      </c>
      <c r="C277" s="81" t="e">
        <f ca="1">VLOOKUP(B277,Calc!$K$66:$L$76,2,FALSE)</f>
        <v>#N/A</v>
      </c>
      <c r="D277" s="81" t="e">
        <f ca="1">VLOOKUP(B277,Calc!$K$77:$L$87,2,FALSE)</f>
        <v>#N/A</v>
      </c>
      <c r="E277" s="523" t="e">
        <f ca="1">VLOOKUP(B277,Calc!$K$88:$L$98,2,FALSE)</f>
        <v>#N/A</v>
      </c>
      <c r="F277" s="523" t="e">
        <f ca="1">IF(Errorhandling!$C$42,INDEX(Calc!$J$99:$J$109,MATCH(Display!B277,Calc!$K$99:$K$109,0),1),#N/A)</f>
        <v>#N/A</v>
      </c>
    </row>
    <row r="278" spans="2:6" x14ac:dyDescent="0.2">
      <c r="B278" s="6">
        <f t="shared" si="8"/>
        <v>275</v>
      </c>
      <c r="C278" s="81" t="e">
        <f ca="1">VLOOKUP(B278,Calc!$K$66:$L$76,2,FALSE)</f>
        <v>#N/A</v>
      </c>
      <c r="D278" s="81" t="e">
        <f ca="1">VLOOKUP(B278,Calc!$K$77:$L$87,2,FALSE)</f>
        <v>#N/A</v>
      </c>
      <c r="E278" s="523" t="e">
        <f ca="1">VLOOKUP(B278,Calc!$K$88:$L$98,2,FALSE)</f>
        <v>#N/A</v>
      </c>
      <c r="F278" s="523" t="e">
        <f ca="1">IF(Errorhandling!$C$42,INDEX(Calc!$J$99:$J$109,MATCH(Display!B278,Calc!$K$99:$K$109,0),1),#N/A)</f>
        <v>#N/A</v>
      </c>
    </row>
    <row r="279" spans="2:6" x14ac:dyDescent="0.2">
      <c r="B279" s="6">
        <f t="shared" si="8"/>
        <v>276</v>
      </c>
      <c r="C279" s="81" t="e">
        <f ca="1">VLOOKUP(B279,Calc!$K$66:$L$76,2,FALSE)</f>
        <v>#N/A</v>
      </c>
      <c r="D279" s="81" t="e">
        <f ca="1">VLOOKUP(B279,Calc!$K$77:$L$87,2,FALSE)</f>
        <v>#N/A</v>
      </c>
      <c r="E279" s="523" t="e">
        <f ca="1">VLOOKUP(B279,Calc!$K$88:$L$98,2,FALSE)</f>
        <v>#N/A</v>
      </c>
      <c r="F279" s="523" t="e">
        <f ca="1">IF(Errorhandling!$C$42,INDEX(Calc!$J$99:$J$109,MATCH(Display!B279,Calc!$K$99:$K$109,0),1),#N/A)</f>
        <v>#N/A</v>
      </c>
    </row>
    <row r="280" spans="2:6" x14ac:dyDescent="0.2">
      <c r="B280" s="6">
        <f t="shared" si="8"/>
        <v>277</v>
      </c>
      <c r="C280" s="81" t="e">
        <f ca="1">VLOOKUP(B280,Calc!$K$66:$L$76,2,FALSE)</f>
        <v>#N/A</v>
      </c>
      <c r="D280" s="81" t="e">
        <f ca="1">VLOOKUP(B280,Calc!$K$77:$L$87,2,FALSE)</f>
        <v>#N/A</v>
      </c>
      <c r="E280" s="523" t="e">
        <f ca="1">VLOOKUP(B280,Calc!$K$88:$L$98,2,FALSE)</f>
        <v>#N/A</v>
      </c>
      <c r="F280" s="523" t="e">
        <f ca="1">IF(Errorhandling!$C$42,INDEX(Calc!$J$99:$J$109,MATCH(Display!B280,Calc!$K$99:$K$109,0),1),#N/A)</f>
        <v>#N/A</v>
      </c>
    </row>
    <row r="281" spans="2:6" x14ac:dyDescent="0.2">
      <c r="B281" s="6">
        <f t="shared" si="8"/>
        <v>278</v>
      </c>
      <c r="C281" s="81" t="e">
        <f ca="1">VLOOKUP(B281,Calc!$K$66:$L$76,2,FALSE)</f>
        <v>#N/A</v>
      </c>
      <c r="D281" s="81" t="e">
        <f ca="1">VLOOKUP(B281,Calc!$K$77:$L$87,2,FALSE)</f>
        <v>#N/A</v>
      </c>
      <c r="E281" s="523" t="e">
        <f ca="1">VLOOKUP(B281,Calc!$K$88:$L$98,2,FALSE)</f>
        <v>#N/A</v>
      </c>
      <c r="F281" s="523" t="e">
        <f ca="1">IF(Errorhandling!$C$42,INDEX(Calc!$J$99:$J$109,MATCH(Display!B281,Calc!$K$99:$K$109,0),1),#N/A)</f>
        <v>#N/A</v>
      </c>
    </row>
    <row r="282" spans="2:6" x14ac:dyDescent="0.2">
      <c r="B282" s="6">
        <f t="shared" si="8"/>
        <v>279</v>
      </c>
      <c r="C282" s="81" t="e">
        <f ca="1">VLOOKUP(B282,Calc!$K$66:$L$76,2,FALSE)</f>
        <v>#N/A</v>
      </c>
      <c r="D282" s="81" t="e">
        <f ca="1">VLOOKUP(B282,Calc!$K$77:$L$87,2,FALSE)</f>
        <v>#N/A</v>
      </c>
      <c r="E282" s="523" t="e">
        <f ca="1">VLOOKUP(B282,Calc!$K$88:$L$98,2,FALSE)</f>
        <v>#N/A</v>
      </c>
      <c r="F282" s="523" t="e">
        <f ca="1">IF(Errorhandling!$C$42,INDEX(Calc!$J$99:$J$109,MATCH(Display!B282,Calc!$K$99:$K$109,0),1),#N/A)</f>
        <v>#N/A</v>
      </c>
    </row>
    <row r="283" spans="2:6" x14ac:dyDescent="0.2">
      <c r="B283" s="6">
        <f t="shared" si="8"/>
        <v>280</v>
      </c>
      <c r="C283" s="81" t="e">
        <f ca="1">VLOOKUP(B283,Calc!$K$66:$L$76,2,FALSE)</f>
        <v>#N/A</v>
      </c>
      <c r="D283" s="81" t="e">
        <f ca="1">VLOOKUP(B283,Calc!$K$77:$L$87,2,FALSE)</f>
        <v>#N/A</v>
      </c>
      <c r="E283" s="523" t="e">
        <f ca="1">VLOOKUP(B283,Calc!$K$88:$L$98,2,FALSE)</f>
        <v>#N/A</v>
      </c>
      <c r="F283" s="523" t="e">
        <f ca="1">IF(Errorhandling!$C$42,INDEX(Calc!$J$99:$J$109,MATCH(Display!B283,Calc!$K$99:$K$109,0),1),#N/A)</f>
        <v>#N/A</v>
      </c>
    </row>
    <row r="284" spans="2:6" x14ac:dyDescent="0.2">
      <c r="B284" s="6">
        <f t="shared" si="8"/>
        <v>281</v>
      </c>
      <c r="C284" s="81" t="e">
        <f ca="1">VLOOKUP(B284,Calc!$K$66:$L$76,2,FALSE)</f>
        <v>#N/A</v>
      </c>
      <c r="D284" s="81" t="e">
        <f ca="1">VLOOKUP(B284,Calc!$K$77:$L$87,2,FALSE)</f>
        <v>#N/A</v>
      </c>
      <c r="E284" s="523" t="e">
        <f ca="1">VLOOKUP(B284,Calc!$K$88:$L$98,2,FALSE)</f>
        <v>#N/A</v>
      </c>
      <c r="F284" s="523" t="e">
        <f ca="1">IF(Errorhandling!$C$42,INDEX(Calc!$J$99:$J$109,MATCH(Display!B284,Calc!$K$99:$K$109,0),1),#N/A)</f>
        <v>#N/A</v>
      </c>
    </row>
    <row r="285" spans="2:6" x14ac:dyDescent="0.2">
      <c r="B285" s="6">
        <f t="shared" si="8"/>
        <v>282</v>
      </c>
      <c r="C285" s="81" t="e">
        <f ca="1">VLOOKUP(B285,Calc!$K$66:$L$76,2,FALSE)</f>
        <v>#N/A</v>
      </c>
      <c r="D285" s="81" t="e">
        <f ca="1">VLOOKUP(B285,Calc!$K$77:$L$87,2,FALSE)</f>
        <v>#N/A</v>
      </c>
      <c r="E285" s="523" t="e">
        <f ca="1">VLOOKUP(B285,Calc!$K$88:$L$98,2,FALSE)</f>
        <v>#N/A</v>
      </c>
      <c r="F285" s="523" t="e">
        <f ca="1">IF(Errorhandling!$C$42,INDEX(Calc!$J$99:$J$109,MATCH(Display!B285,Calc!$K$99:$K$109,0),1),#N/A)</f>
        <v>#N/A</v>
      </c>
    </row>
    <row r="286" spans="2:6" x14ac:dyDescent="0.2">
      <c r="B286" s="6">
        <f t="shared" si="8"/>
        <v>283</v>
      </c>
      <c r="C286" s="81" t="e">
        <f ca="1">VLOOKUP(B286,Calc!$K$66:$L$76,2,FALSE)</f>
        <v>#N/A</v>
      </c>
      <c r="D286" s="81" t="e">
        <f ca="1">VLOOKUP(B286,Calc!$K$77:$L$87,2,FALSE)</f>
        <v>#N/A</v>
      </c>
      <c r="E286" s="523" t="e">
        <f ca="1">VLOOKUP(B286,Calc!$K$88:$L$98,2,FALSE)</f>
        <v>#N/A</v>
      </c>
      <c r="F286" s="523" t="e">
        <f ca="1">IF(Errorhandling!$C$42,INDEX(Calc!$J$99:$J$109,MATCH(Display!B286,Calc!$K$99:$K$109,0),1),#N/A)</f>
        <v>#N/A</v>
      </c>
    </row>
    <row r="287" spans="2:6" x14ac:dyDescent="0.2">
      <c r="B287" s="6">
        <f t="shared" si="8"/>
        <v>284</v>
      </c>
      <c r="C287" s="81" t="e">
        <f ca="1">VLOOKUP(B287,Calc!$K$66:$L$76,2,FALSE)</f>
        <v>#N/A</v>
      </c>
      <c r="D287" s="81" t="e">
        <f ca="1">VLOOKUP(B287,Calc!$K$77:$L$87,2,FALSE)</f>
        <v>#N/A</v>
      </c>
      <c r="E287" s="523" t="e">
        <f ca="1">VLOOKUP(B287,Calc!$K$88:$L$98,2,FALSE)</f>
        <v>#N/A</v>
      </c>
      <c r="F287" s="523" t="e">
        <f ca="1">IF(Errorhandling!$C$42,INDEX(Calc!$J$99:$J$109,MATCH(Display!B287,Calc!$K$99:$K$109,0),1),#N/A)</f>
        <v>#N/A</v>
      </c>
    </row>
    <row r="288" spans="2:6" x14ac:dyDescent="0.2">
      <c r="B288" s="6">
        <f t="shared" si="8"/>
        <v>285</v>
      </c>
      <c r="C288" s="81" t="e">
        <f ca="1">VLOOKUP(B288,Calc!$K$66:$L$76,2,FALSE)</f>
        <v>#N/A</v>
      </c>
      <c r="D288" s="81" t="e">
        <f ca="1">VLOOKUP(B288,Calc!$K$77:$L$87,2,FALSE)</f>
        <v>#N/A</v>
      </c>
      <c r="E288" s="523" t="e">
        <f ca="1">VLOOKUP(B288,Calc!$K$88:$L$98,2,FALSE)</f>
        <v>#N/A</v>
      </c>
      <c r="F288" s="523" t="e">
        <f ca="1">IF(Errorhandling!$C$42,INDEX(Calc!$J$99:$J$109,MATCH(Display!B288,Calc!$K$99:$K$109,0),1),#N/A)</f>
        <v>#N/A</v>
      </c>
    </row>
    <row r="289" spans="2:6" x14ac:dyDescent="0.2">
      <c r="B289" s="6">
        <f t="shared" si="8"/>
        <v>286</v>
      </c>
      <c r="C289" s="81" t="e">
        <f ca="1">VLOOKUP(B289,Calc!$K$66:$L$76,2,FALSE)</f>
        <v>#N/A</v>
      </c>
      <c r="D289" s="81" t="e">
        <f ca="1">VLOOKUP(B289,Calc!$K$77:$L$87,2,FALSE)</f>
        <v>#N/A</v>
      </c>
      <c r="E289" s="523" t="e">
        <f ca="1">VLOOKUP(B289,Calc!$K$88:$L$98,2,FALSE)</f>
        <v>#N/A</v>
      </c>
      <c r="F289" s="523" t="e">
        <f ca="1">IF(Errorhandling!$C$42,INDEX(Calc!$J$99:$J$109,MATCH(Display!B289,Calc!$K$99:$K$109,0),1),#N/A)</f>
        <v>#N/A</v>
      </c>
    </row>
    <row r="290" spans="2:6" x14ac:dyDescent="0.2">
      <c r="B290" s="6">
        <f t="shared" si="8"/>
        <v>287</v>
      </c>
      <c r="C290" s="81" t="e">
        <f ca="1">VLOOKUP(B290,Calc!$K$66:$L$76,2,FALSE)</f>
        <v>#N/A</v>
      </c>
      <c r="D290" s="81" t="e">
        <f ca="1">VLOOKUP(B290,Calc!$K$77:$L$87,2,FALSE)</f>
        <v>#N/A</v>
      </c>
      <c r="E290" s="523" t="e">
        <f ca="1">VLOOKUP(B290,Calc!$K$88:$L$98,2,FALSE)</f>
        <v>#N/A</v>
      </c>
      <c r="F290" s="523" t="e">
        <f ca="1">IF(Errorhandling!$C$42,INDEX(Calc!$J$99:$J$109,MATCH(Display!B290,Calc!$K$99:$K$109,0),1),#N/A)</f>
        <v>#N/A</v>
      </c>
    </row>
    <row r="291" spans="2:6" x14ac:dyDescent="0.2">
      <c r="B291" s="6">
        <f t="shared" si="8"/>
        <v>288</v>
      </c>
      <c r="C291" s="81" t="e">
        <f ca="1">VLOOKUP(B291,Calc!$K$66:$L$76,2,FALSE)</f>
        <v>#N/A</v>
      </c>
      <c r="D291" s="81" t="e">
        <f ca="1">VLOOKUP(B291,Calc!$K$77:$L$87,2,FALSE)</f>
        <v>#N/A</v>
      </c>
      <c r="E291" s="523" t="e">
        <f ca="1">VLOOKUP(B291,Calc!$K$88:$L$98,2,FALSE)</f>
        <v>#N/A</v>
      </c>
      <c r="F291" s="523" t="e">
        <f ca="1">IF(Errorhandling!$C$42,INDEX(Calc!$J$99:$J$109,MATCH(Display!B291,Calc!$K$99:$K$109,0),1),#N/A)</f>
        <v>#N/A</v>
      </c>
    </row>
    <row r="292" spans="2:6" x14ac:dyDescent="0.2">
      <c r="B292" s="6">
        <f t="shared" si="8"/>
        <v>289</v>
      </c>
      <c r="C292" s="81" t="e">
        <f ca="1">VLOOKUP(B292,Calc!$K$66:$L$76,2,FALSE)</f>
        <v>#N/A</v>
      </c>
      <c r="D292" s="81" t="e">
        <f ca="1">VLOOKUP(B292,Calc!$K$77:$L$87,2,FALSE)</f>
        <v>#N/A</v>
      </c>
      <c r="E292" s="523" t="e">
        <f ca="1">VLOOKUP(B292,Calc!$K$88:$L$98,2,FALSE)</f>
        <v>#N/A</v>
      </c>
      <c r="F292" s="523" t="e">
        <f ca="1">IF(Errorhandling!$C$42,INDEX(Calc!$J$99:$J$109,MATCH(Display!B292,Calc!$K$99:$K$109,0),1),#N/A)</f>
        <v>#N/A</v>
      </c>
    </row>
    <row r="293" spans="2:6" x14ac:dyDescent="0.2">
      <c r="B293" s="6">
        <f t="shared" si="8"/>
        <v>290</v>
      </c>
      <c r="C293" s="81" t="e">
        <f ca="1">VLOOKUP(B293,Calc!$K$66:$L$76,2,FALSE)</f>
        <v>#N/A</v>
      </c>
      <c r="D293" s="81" t="e">
        <f ca="1">VLOOKUP(B293,Calc!$K$77:$L$87,2,FALSE)</f>
        <v>#N/A</v>
      </c>
      <c r="E293" s="523" t="e">
        <f ca="1">VLOOKUP(B293,Calc!$K$88:$L$98,2,FALSE)</f>
        <v>#N/A</v>
      </c>
      <c r="F293" s="523" t="e">
        <f ca="1">IF(Errorhandling!$C$42,INDEX(Calc!$J$99:$J$109,MATCH(Display!B293,Calc!$K$99:$K$109,0),1),#N/A)</f>
        <v>#N/A</v>
      </c>
    </row>
    <row r="294" spans="2:6" x14ac:dyDescent="0.2">
      <c r="B294" s="6">
        <f t="shared" si="8"/>
        <v>291</v>
      </c>
      <c r="C294" s="81" t="e">
        <f ca="1">VLOOKUP(B294,Calc!$K$66:$L$76,2,FALSE)</f>
        <v>#N/A</v>
      </c>
      <c r="D294" s="81" t="e">
        <f ca="1">VLOOKUP(B294,Calc!$K$77:$L$87,2,FALSE)</f>
        <v>#N/A</v>
      </c>
      <c r="E294" s="523" t="e">
        <f ca="1">VLOOKUP(B294,Calc!$K$88:$L$98,2,FALSE)</f>
        <v>#N/A</v>
      </c>
      <c r="F294" s="523" t="e">
        <f ca="1">IF(Errorhandling!$C$42,INDEX(Calc!$J$99:$J$109,MATCH(Display!B294,Calc!$K$99:$K$109,0),1),#N/A)</f>
        <v>#N/A</v>
      </c>
    </row>
    <row r="295" spans="2:6" x14ac:dyDescent="0.2">
      <c r="B295" s="6">
        <f t="shared" si="8"/>
        <v>292</v>
      </c>
      <c r="C295" s="81" t="e">
        <f ca="1">VLOOKUP(B295,Calc!$K$66:$L$76,2,FALSE)</f>
        <v>#N/A</v>
      </c>
      <c r="D295" s="81" t="e">
        <f ca="1">VLOOKUP(B295,Calc!$K$77:$L$87,2,FALSE)</f>
        <v>#N/A</v>
      </c>
      <c r="E295" s="523">
        <f ca="1">VLOOKUP(B295,Calc!$K$88:$L$98,2,FALSE)</f>
        <v>549.08213098218505</v>
      </c>
      <c r="F295" s="523">
        <f ca="1">IF(Errorhandling!$C$42,INDEX(Calc!$J$99:$J$109,MATCH(Display!B295,Calc!$K$99:$K$109,0),1),#N/A)</f>
        <v>3.4644740326604493E-5</v>
      </c>
    </row>
    <row r="296" spans="2:6" x14ac:dyDescent="0.2">
      <c r="B296" s="6">
        <f t="shared" si="8"/>
        <v>293</v>
      </c>
      <c r="C296" s="81" t="e">
        <f ca="1">VLOOKUP(B296,Calc!$K$66:$L$76,2,FALSE)</f>
        <v>#N/A</v>
      </c>
      <c r="D296" s="81" t="e">
        <f ca="1">VLOOKUP(B296,Calc!$K$77:$L$87,2,FALSE)</f>
        <v>#N/A</v>
      </c>
      <c r="E296" s="523" t="e">
        <f ca="1">VLOOKUP(B296,Calc!$K$88:$L$98,2,FALSE)</f>
        <v>#N/A</v>
      </c>
      <c r="F296" s="523" t="e">
        <f ca="1">IF(Errorhandling!$C$42,INDEX(Calc!$J$99:$J$109,MATCH(Display!B296,Calc!$K$99:$K$109,0),1),#N/A)</f>
        <v>#N/A</v>
      </c>
    </row>
    <row r="297" spans="2:6" x14ac:dyDescent="0.2">
      <c r="B297" s="6">
        <f t="shared" si="8"/>
        <v>294</v>
      </c>
      <c r="C297" s="81" t="e">
        <f ca="1">VLOOKUP(B297,Calc!$K$66:$L$76,2,FALSE)</f>
        <v>#N/A</v>
      </c>
      <c r="D297" s="81" t="e">
        <f ca="1">VLOOKUP(B297,Calc!$K$77:$L$87,2,FALSE)</f>
        <v>#N/A</v>
      </c>
      <c r="E297" s="523" t="e">
        <f ca="1">VLOOKUP(B297,Calc!$K$88:$L$98,2,FALSE)</f>
        <v>#N/A</v>
      </c>
      <c r="F297" s="523" t="e">
        <f ca="1">IF(Errorhandling!$C$42,INDEX(Calc!$J$99:$J$109,MATCH(Display!B297,Calc!$K$99:$K$109,0),1),#N/A)</f>
        <v>#N/A</v>
      </c>
    </row>
    <row r="298" spans="2:6" x14ac:dyDescent="0.2">
      <c r="B298" s="6">
        <f t="shared" si="8"/>
        <v>295</v>
      </c>
      <c r="C298" s="81" t="e">
        <f ca="1">VLOOKUP(B298,Calc!$K$66:$L$76,2,FALSE)</f>
        <v>#N/A</v>
      </c>
      <c r="D298" s="81" t="e">
        <f ca="1">VLOOKUP(B298,Calc!$K$77:$L$87,2,FALSE)</f>
        <v>#N/A</v>
      </c>
      <c r="E298" s="523" t="e">
        <f ca="1">VLOOKUP(B298,Calc!$K$88:$L$98,2,FALSE)</f>
        <v>#N/A</v>
      </c>
      <c r="F298" s="523" t="e">
        <f ca="1">IF(Errorhandling!$C$42,INDEX(Calc!$J$99:$J$109,MATCH(Display!B298,Calc!$K$99:$K$109,0),1),#N/A)</f>
        <v>#N/A</v>
      </c>
    </row>
    <row r="299" spans="2:6" x14ac:dyDescent="0.2">
      <c r="B299" s="6">
        <f t="shared" si="8"/>
        <v>296</v>
      </c>
      <c r="C299" s="81" t="e">
        <f ca="1">VLOOKUP(B299,Calc!$K$66:$L$76,2,FALSE)</f>
        <v>#N/A</v>
      </c>
      <c r="D299" s="81" t="e">
        <f ca="1">VLOOKUP(B299,Calc!$K$77:$L$87,2,FALSE)</f>
        <v>#N/A</v>
      </c>
      <c r="E299" s="523" t="e">
        <f ca="1">VLOOKUP(B299,Calc!$K$88:$L$98,2,FALSE)</f>
        <v>#N/A</v>
      </c>
      <c r="F299" s="523" t="e">
        <f ca="1">IF(Errorhandling!$C$42,INDEX(Calc!$J$99:$J$109,MATCH(Display!B299,Calc!$K$99:$K$109,0),1),#N/A)</f>
        <v>#N/A</v>
      </c>
    </row>
    <row r="300" spans="2:6" x14ac:dyDescent="0.2">
      <c r="B300" s="6">
        <f t="shared" si="8"/>
        <v>297</v>
      </c>
      <c r="C300" s="81" t="e">
        <f ca="1">VLOOKUP(B300,Calc!$K$66:$L$76,2,FALSE)</f>
        <v>#N/A</v>
      </c>
      <c r="D300" s="81" t="e">
        <f ca="1">VLOOKUP(B300,Calc!$K$77:$L$87,2,FALSE)</f>
        <v>#N/A</v>
      </c>
      <c r="E300" s="523" t="e">
        <f ca="1">VLOOKUP(B300,Calc!$K$88:$L$98,2,FALSE)</f>
        <v>#N/A</v>
      </c>
      <c r="F300" s="523" t="e">
        <f ca="1">IF(Errorhandling!$C$42,INDEX(Calc!$J$99:$J$109,MATCH(Display!B300,Calc!$K$99:$K$109,0),1),#N/A)</f>
        <v>#N/A</v>
      </c>
    </row>
    <row r="301" spans="2:6" x14ac:dyDescent="0.2">
      <c r="B301" s="6">
        <f t="shared" si="8"/>
        <v>298</v>
      </c>
      <c r="C301" s="81" t="e">
        <f ca="1">VLOOKUP(B301,Calc!$K$66:$L$76,2,FALSE)</f>
        <v>#N/A</v>
      </c>
      <c r="D301" s="81" t="e">
        <f ca="1">VLOOKUP(B301,Calc!$K$77:$L$87,2,FALSE)</f>
        <v>#N/A</v>
      </c>
      <c r="E301" s="523" t="e">
        <f ca="1">VLOOKUP(B301,Calc!$K$88:$L$98,2,FALSE)</f>
        <v>#N/A</v>
      </c>
      <c r="F301" s="523" t="e">
        <f ca="1">IF(Errorhandling!$C$42,INDEX(Calc!$J$99:$J$109,MATCH(Display!B301,Calc!$K$99:$K$109,0),1),#N/A)</f>
        <v>#N/A</v>
      </c>
    </row>
    <row r="302" spans="2:6" x14ac:dyDescent="0.2">
      <c r="B302" s="6">
        <f t="shared" si="8"/>
        <v>299</v>
      </c>
      <c r="C302" s="81" t="e">
        <f ca="1">VLOOKUP(B302,Calc!$K$66:$L$76,2,FALSE)</f>
        <v>#N/A</v>
      </c>
      <c r="D302" s="81" t="e">
        <f ca="1">VLOOKUP(B302,Calc!$K$77:$L$87,2,FALSE)</f>
        <v>#N/A</v>
      </c>
      <c r="E302" s="523" t="e">
        <f ca="1">VLOOKUP(B302,Calc!$K$88:$L$98,2,FALSE)</f>
        <v>#N/A</v>
      </c>
      <c r="F302" s="523" t="e">
        <f ca="1">IF(Errorhandling!$C$42,INDEX(Calc!$J$99:$J$109,MATCH(Display!B302,Calc!$K$99:$K$109,0),1),#N/A)</f>
        <v>#N/A</v>
      </c>
    </row>
    <row r="303" spans="2:6" x14ac:dyDescent="0.2">
      <c r="B303" s="6">
        <f t="shared" si="8"/>
        <v>300</v>
      </c>
      <c r="C303" s="81" t="e">
        <f ca="1">VLOOKUP(B303,Calc!$K$66:$L$76,2,FALSE)</f>
        <v>#N/A</v>
      </c>
      <c r="D303" s="81" t="e">
        <f ca="1">VLOOKUP(B303,Calc!$K$77:$L$87,2,FALSE)</f>
        <v>#N/A</v>
      </c>
      <c r="E303" s="523" t="e">
        <f ca="1">VLOOKUP(B303,Calc!$K$88:$L$98,2,FALSE)</f>
        <v>#N/A</v>
      </c>
      <c r="F303" s="523" t="e">
        <f ca="1">IF(Errorhandling!$C$42,INDEX(Calc!$J$99:$J$109,MATCH(Display!B303,Calc!$K$99:$K$109,0),1),#N/A)</f>
        <v>#N/A</v>
      </c>
    </row>
    <row r="304" spans="2:6" x14ac:dyDescent="0.2">
      <c r="B304" s="6">
        <f t="shared" si="8"/>
        <v>301</v>
      </c>
      <c r="C304" s="81" t="e">
        <f ca="1">VLOOKUP(B304,Calc!$K$66:$L$76,2,FALSE)</f>
        <v>#N/A</v>
      </c>
      <c r="D304" s="81" t="e">
        <f ca="1">VLOOKUP(B304,Calc!$K$77:$L$87,2,FALSE)</f>
        <v>#N/A</v>
      </c>
      <c r="E304" s="523" t="e">
        <f ca="1">VLOOKUP(B304,Calc!$K$88:$L$98,2,FALSE)</f>
        <v>#N/A</v>
      </c>
      <c r="F304" s="523" t="e">
        <f ca="1">IF(Errorhandling!$C$42,INDEX(Calc!$J$99:$J$109,MATCH(Display!B304,Calc!$K$99:$K$109,0),1),#N/A)</f>
        <v>#N/A</v>
      </c>
    </row>
    <row r="305" spans="2:6" x14ac:dyDescent="0.2">
      <c r="B305" s="6">
        <f t="shared" si="8"/>
        <v>302</v>
      </c>
      <c r="C305" s="81" t="e">
        <f ca="1">VLOOKUP(B305,Calc!$K$66:$L$76,2,FALSE)</f>
        <v>#N/A</v>
      </c>
      <c r="D305" s="81" t="e">
        <f ca="1">VLOOKUP(B305,Calc!$K$77:$L$87,2,FALSE)</f>
        <v>#N/A</v>
      </c>
      <c r="E305" s="523" t="e">
        <f ca="1">VLOOKUP(B305,Calc!$K$88:$L$98,2,FALSE)</f>
        <v>#N/A</v>
      </c>
      <c r="F305" s="523" t="e">
        <f ca="1">IF(Errorhandling!$C$42,INDEX(Calc!$J$99:$J$109,MATCH(Display!B305,Calc!$K$99:$K$109,0),1),#N/A)</f>
        <v>#N/A</v>
      </c>
    </row>
    <row r="306" spans="2:6" x14ac:dyDescent="0.2">
      <c r="B306" s="6">
        <f t="shared" si="8"/>
        <v>303</v>
      </c>
      <c r="C306" s="81" t="e">
        <f ca="1">VLOOKUP(B306,Calc!$K$66:$L$76,2,FALSE)</f>
        <v>#N/A</v>
      </c>
      <c r="D306" s="81" t="e">
        <f ca="1">VLOOKUP(B306,Calc!$K$77:$L$87,2,FALSE)</f>
        <v>#N/A</v>
      </c>
      <c r="E306" s="523" t="e">
        <f ca="1">VLOOKUP(B306,Calc!$K$88:$L$98,2,FALSE)</f>
        <v>#N/A</v>
      </c>
      <c r="F306" s="523" t="e">
        <f ca="1">IF(Errorhandling!$C$42,INDEX(Calc!$J$99:$J$109,MATCH(Display!B306,Calc!$K$99:$K$109,0),1),#N/A)</f>
        <v>#N/A</v>
      </c>
    </row>
    <row r="307" spans="2:6" x14ac:dyDescent="0.2">
      <c r="B307" s="6">
        <f t="shared" si="8"/>
        <v>304</v>
      </c>
      <c r="C307" s="81" t="e">
        <f ca="1">VLOOKUP(B307,Calc!$K$66:$L$76,2,FALSE)</f>
        <v>#N/A</v>
      </c>
      <c r="D307" s="81" t="e">
        <f ca="1">VLOOKUP(B307,Calc!$K$77:$L$87,2,FALSE)</f>
        <v>#N/A</v>
      </c>
      <c r="E307" s="523" t="e">
        <f ca="1">VLOOKUP(B307,Calc!$K$88:$L$98,2,FALSE)</f>
        <v>#N/A</v>
      </c>
      <c r="F307" s="523" t="e">
        <f ca="1">IF(Errorhandling!$C$42,INDEX(Calc!$J$99:$J$109,MATCH(Display!B307,Calc!$K$99:$K$109,0),1),#N/A)</f>
        <v>#N/A</v>
      </c>
    </row>
    <row r="308" spans="2:6" x14ac:dyDescent="0.2">
      <c r="B308" s="6">
        <f t="shared" si="8"/>
        <v>305</v>
      </c>
      <c r="C308" s="81" t="e">
        <f ca="1">VLOOKUP(B308,Calc!$K$66:$L$76,2,FALSE)</f>
        <v>#N/A</v>
      </c>
      <c r="D308" s="81" t="e">
        <f ca="1">VLOOKUP(B308,Calc!$K$77:$L$87,2,FALSE)</f>
        <v>#N/A</v>
      </c>
      <c r="E308" s="523" t="e">
        <f ca="1">VLOOKUP(B308,Calc!$K$88:$L$98,2,FALSE)</f>
        <v>#N/A</v>
      </c>
      <c r="F308" s="523" t="e">
        <f ca="1">IF(Errorhandling!$C$42,INDEX(Calc!$J$99:$J$109,MATCH(Display!B308,Calc!$K$99:$K$109,0),1),#N/A)</f>
        <v>#N/A</v>
      </c>
    </row>
    <row r="309" spans="2:6" x14ac:dyDescent="0.2">
      <c r="B309" s="6">
        <f t="shared" si="8"/>
        <v>306</v>
      </c>
      <c r="C309" s="81" t="e">
        <f ca="1">VLOOKUP(B309,Calc!$K$66:$L$76,2,FALSE)</f>
        <v>#N/A</v>
      </c>
      <c r="D309" s="81" t="e">
        <f ca="1">VLOOKUP(B309,Calc!$K$77:$L$87,2,FALSE)</f>
        <v>#N/A</v>
      </c>
      <c r="E309" s="523" t="e">
        <f ca="1">VLOOKUP(B309,Calc!$K$88:$L$98,2,FALSE)</f>
        <v>#N/A</v>
      </c>
      <c r="F309" s="523" t="e">
        <f ca="1">IF(Errorhandling!$C$42,INDEX(Calc!$J$99:$J$109,MATCH(Display!B309,Calc!$K$99:$K$109,0),1),#N/A)</f>
        <v>#N/A</v>
      </c>
    </row>
    <row r="310" spans="2:6" x14ac:dyDescent="0.2">
      <c r="B310" s="6">
        <f t="shared" si="8"/>
        <v>307</v>
      </c>
      <c r="C310" s="81" t="e">
        <f ca="1">VLOOKUP(B310,Calc!$K$66:$L$76,2,FALSE)</f>
        <v>#N/A</v>
      </c>
      <c r="D310" s="81" t="e">
        <f ca="1">VLOOKUP(B310,Calc!$K$77:$L$87,2,FALSE)</f>
        <v>#N/A</v>
      </c>
      <c r="E310" s="523" t="e">
        <f ca="1">VLOOKUP(B310,Calc!$K$88:$L$98,2,FALSE)</f>
        <v>#N/A</v>
      </c>
      <c r="F310" s="523" t="e">
        <f ca="1">IF(Errorhandling!$C$42,INDEX(Calc!$J$99:$J$109,MATCH(Display!B310,Calc!$K$99:$K$109,0),1),#N/A)</f>
        <v>#N/A</v>
      </c>
    </row>
    <row r="311" spans="2:6" x14ac:dyDescent="0.2">
      <c r="B311" s="6">
        <f t="shared" si="8"/>
        <v>308</v>
      </c>
      <c r="C311" s="81" t="e">
        <f ca="1">VLOOKUP(B311,Calc!$K$66:$L$76,2,FALSE)</f>
        <v>#N/A</v>
      </c>
      <c r="D311" s="81" t="e">
        <f ca="1">VLOOKUP(B311,Calc!$K$77:$L$87,2,FALSE)</f>
        <v>#N/A</v>
      </c>
      <c r="E311" s="523" t="e">
        <f ca="1">VLOOKUP(B311,Calc!$K$88:$L$98,2,FALSE)</f>
        <v>#N/A</v>
      </c>
      <c r="F311" s="523" t="e">
        <f ca="1">IF(Errorhandling!$C$42,INDEX(Calc!$J$99:$J$109,MATCH(Display!B311,Calc!$K$99:$K$109,0),1),#N/A)</f>
        <v>#N/A</v>
      </c>
    </row>
    <row r="312" spans="2:6" x14ac:dyDescent="0.2">
      <c r="B312" s="6">
        <f t="shared" si="8"/>
        <v>309</v>
      </c>
      <c r="C312" s="81" t="e">
        <f ca="1">VLOOKUP(B312,Calc!$K$66:$L$76,2,FALSE)</f>
        <v>#N/A</v>
      </c>
      <c r="D312" s="81" t="e">
        <f ca="1">VLOOKUP(B312,Calc!$K$77:$L$87,2,FALSE)</f>
        <v>#N/A</v>
      </c>
      <c r="E312" s="523" t="e">
        <f ca="1">VLOOKUP(B312,Calc!$K$88:$L$98,2,FALSE)</f>
        <v>#N/A</v>
      </c>
      <c r="F312" s="523" t="e">
        <f ca="1">IF(Errorhandling!$C$42,INDEX(Calc!$J$99:$J$109,MATCH(Display!B312,Calc!$K$99:$K$109,0),1),#N/A)</f>
        <v>#N/A</v>
      </c>
    </row>
    <row r="313" spans="2:6" x14ac:dyDescent="0.2">
      <c r="B313" s="6">
        <f t="shared" si="8"/>
        <v>310</v>
      </c>
      <c r="C313" s="81" t="e">
        <f ca="1">VLOOKUP(B313,Calc!$K$66:$L$76,2,FALSE)</f>
        <v>#N/A</v>
      </c>
      <c r="D313" s="81" t="e">
        <f ca="1">VLOOKUP(B313,Calc!$K$77:$L$87,2,FALSE)</f>
        <v>#N/A</v>
      </c>
      <c r="E313" s="523" t="e">
        <f ca="1">VLOOKUP(B313,Calc!$K$88:$L$98,2,FALSE)</f>
        <v>#N/A</v>
      </c>
      <c r="F313" s="523" t="e">
        <f ca="1">IF(Errorhandling!$C$42,INDEX(Calc!$J$99:$J$109,MATCH(Display!B313,Calc!$K$99:$K$109,0),1),#N/A)</f>
        <v>#N/A</v>
      </c>
    </row>
    <row r="314" spans="2:6" x14ac:dyDescent="0.2">
      <c r="B314" s="6">
        <f t="shared" si="8"/>
        <v>311</v>
      </c>
      <c r="C314" s="81" t="e">
        <f ca="1">VLOOKUP(B314,Calc!$K$66:$L$76,2,FALSE)</f>
        <v>#N/A</v>
      </c>
      <c r="D314" s="81" t="e">
        <f ca="1">VLOOKUP(B314,Calc!$K$77:$L$87,2,FALSE)</f>
        <v>#N/A</v>
      </c>
      <c r="E314" s="523" t="e">
        <f ca="1">VLOOKUP(B314,Calc!$K$88:$L$98,2,FALSE)</f>
        <v>#N/A</v>
      </c>
      <c r="F314" s="523" t="e">
        <f ca="1">IF(Errorhandling!$C$42,INDEX(Calc!$J$99:$J$109,MATCH(Display!B314,Calc!$K$99:$K$109,0),1),#N/A)</f>
        <v>#N/A</v>
      </c>
    </row>
    <row r="315" spans="2:6" x14ac:dyDescent="0.2">
      <c r="B315" s="6">
        <f t="shared" si="8"/>
        <v>312</v>
      </c>
      <c r="C315" s="81" t="e">
        <f ca="1">VLOOKUP(B315,Calc!$K$66:$L$76,2,FALSE)</f>
        <v>#N/A</v>
      </c>
      <c r="D315" s="81" t="e">
        <f ca="1">VLOOKUP(B315,Calc!$K$77:$L$87,2,FALSE)</f>
        <v>#N/A</v>
      </c>
      <c r="E315" s="523" t="e">
        <f ca="1">VLOOKUP(B315,Calc!$K$88:$L$98,2,FALSE)</f>
        <v>#N/A</v>
      </c>
      <c r="F315" s="523" t="e">
        <f ca="1">IF(Errorhandling!$C$42,INDEX(Calc!$J$99:$J$109,MATCH(Display!B315,Calc!$K$99:$K$109,0),1),#N/A)</f>
        <v>#N/A</v>
      </c>
    </row>
    <row r="316" spans="2:6" x14ac:dyDescent="0.2">
      <c r="B316" s="6">
        <f t="shared" si="8"/>
        <v>313</v>
      </c>
      <c r="C316" s="81" t="e">
        <f ca="1">VLOOKUP(B316,Calc!$K$66:$L$76,2,FALSE)</f>
        <v>#N/A</v>
      </c>
      <c r="D316" s="81" t="e">
        <f ca="1">VLOOKUP(B316,Calc!$K$77:$L$87,2,FALSE)</f>
        <v>#N/A</v>
      </c>
      <c r="E316" s="523" t="e">
        <f ca="1">VLOOKUP(B316,Calc!$K$88:$L$98,2,FALSE)</f>
        <v>#N/A</v>
      </c>
      <c r="F316" s="523" t="e">
        <f ca="1">IF(Errorhandling!$C$42,INDEX(Calc!$J$99:$J$109,MATCH(Display!B316,Calc!$K$99:$K$109,0),1),#N/A)</f>
        <v>#N/A</v>
      </c>
    </row>
    <row r="317" spans="2:6" x14ac:dyDescent="0.2">
      <c r="B317" s="6">
        <f t="shared" si="8"/>
        <v>314</v>
      </c>
      <c r="C317" s="81" t="e">
        <f ca="1">VLOOKUP(B317,Calc!$K$66:$L$76,2,FALSE)</f>
        <v>#N/A</v>
      </c>
      <c r="D317" s="81" t="e">
        <f ca="1">VLOOKUP(B317,Calc!$K$77:$L$87,2,FALSE)</f>
        <v>#N/A</v>
      </c>
      <c r="E317" s="523" t="e">
        <f ca="1">VLOOKUP(B317,Calc!$K$88:$L$98,2,FALSE)</f>
        <v>#N/A</v>
      </c>
      <c r="F317" s="523" t="e">
        <f ca="1">IF(Errorhandling!$C$42,INDEX(Calc!$J$99:$J$109,MATCH(Display!B317,Calc!$K$99:$K$109,0),1),#N/A)</f>
        <v>#N/A</v>
      </c>
    </row>
    <row r="318" spans="2:6" x14ac:dyDescent="0.2">
      <c r="B318" s="6">
        <f t="shared" si="8"/>
        <v>315</v>
      </c>
      <c r="C318" s="81" t="e">
        <f ca="1">VLOOKUP(B318,Calc!$K$66:$L$76,2,FALSE)</f>
        <v>#N/A</v>
      </c>
      <c r="D318" s="81" t="e">
        <f ca="1">VLOOKUP(B318,Calc!$K$77:$L$87,2,FALSE)</f>
        <v>#N/A</v>
      </c>
      <c r="E318" s="523" t="e">
        <f ca="1">VLOOKUP(B318,Calc!$K$88:$L$98,2,FALSE)</f>
        <v>#N/A</v>
      </c>
      <c r="F318" s="523" t="e">
        <f ca="1">IF(Errorhandling!$C$42,INDEX(Calc!$J$99:$J$109,MATCH(Display!B318,Calc!$K$99:$K$109,0),1),#N/A)</f>
        <v>#N/A</v>
      </c>
    </row>
    <row r="319" spans="2:6" x14ac:dyDescent="0.2">
      <c r="B319" s="6">
        <f t="shared" si="8"/>
        <v>316</v>
      </c>
      <c r="C319" s="81" t="e">
        <f ca="1">VLOOKUP(B319,Calc!$K$66:$L$76,2,FALSE)</f>
        <v>#N/A</v>
      </c>
      <c r="D319" s="81" t="e">
        <f ca="1">VLOOKUP(B319,Calc!$K$77:$L$87,2,FALSE)</f>
        <v>#N/A</v>
      </c>
      <c r="E319" s="523" t="e">
        <f ca="1">VLOOKUP(B319,Calc!$K$88:$L$98,2,FALSE)</f>
        <v>#N/A</v>
      </c>
      <c r="F319" s="523" t="e">
        <f ca="1">IF(Errorhandling!$C$42,INDEX(Calc!$J$99:$J$109,MATCH(Display!B319,Calc!$K$99:$K$109,0),1),#N/A)</f>
        <v>#N/A</v>
      </c>
    </row>
    <row r="320" spans="2:6" x14ac:dyDescent="0.2">
      <c r="B320" s="6">
        <f t="shared" si="8"/>
        <v>317</v>
      </c>
      <c r="C320" s="81" t="e">
        <f ca="1">VLOOKUP(B320,Calc!$K$66:$L$76,2,FALSE)</f>
        <v>#N/A</v>
      </c>
      <c r="D320" s="81" t="e">
        <f ca="1">VLOOKUP(B320,Calc!$K$77:$L$87,2,FALSE)</f>
        <v>#N/A</v>
      </c>
      <c r="E320" s="523" t="e">
        <f ca="1">VLOOKUP(B320,Calc!$K$88:$L$98,2,FALSE)</f>
        <v>#N/A</v>
      </c>
      <c r="F320" s="523" t="e">
        <f ca="1">IF(Errorhandling!$C$42,INDEX(Calc!$J$99:$J$109,MATCH(Display!B320,Calc!$K$99:$K$109,0),1),#N/A)</f>
        <v>#N/A</v>
      </c>
    </row>
    <row r="321" spans="2:6" x14ac:dyDescent="0.2">
      <c r="B321" s="6">
        <f t="shared" si="8"/>
        <v>318</v>
      </c>
      <c r="C321" s="81" t="e">
        <f ca="1">VLOOKUP(B321,Calc!$K$66:$L$76,2,FALSE)</f>
        <v>#N/A</v>
      </c>
      <c r="D321" s="81" t="e">
        <f ca="1">VLOOKUP(B321,Calc!$K$77:$L$87,2,FALSE)</f>
        <v>#N/A</v>
      </c>
      <c r="E321" s="523" t="e">
        <f ca="1">VLOOKUP(B321,Calc!$K$88:$L$98,2,FALSE)</f>
        <v>#N/A</v>
      </c>
      <c r="F321" s="523" t="e">
        <f ca="1">IF(Errorhandling!$C$42,INDEX(Calc!$J$99:$J$109,MATCH(Display!B321,Calc!$K$99:$K$109,0),1),#N/A)</f>
        <v>#N/A</v>
      </c>
    </row>
    <row r="322" spans="2:6" x14ac:dyDescent="0.2">
      <c r="B322" s="6">
        <f t="shared" si="8"/>
        <v>319</v>
      </c>
      <c r="C322" s="81" t="e">
        <f ca="1">VLOOKUP(B322,Calc!$K$66:$L$76,2,FALSE)</f>
        <v>#N/A</v>
      </c>
      <c r="D322" s="81" t="e">
        <f ca="1">VLOOKUP(B322,Calc!$K$77:$L$87,2,FALSE)</f>
        <v>#N/A</v>
      </c>
      <c r="E322" s="523" t="e">
        <f ca="1">VLOOKUP(B322,Calc!$K$88:$L$98,2,FALSE)</f>
        <v>#N/A</v>
      </c>
      <c r="F322" s="523" t="e">
        <f ca="1">IF(Errorhandling!$C$42,INDEX(Calc!$J$99:$J$109,MATCH(Display!B322,Calc!$K$99:$K$109,0),1),#N/A)</f>
        <v>#N/A</v>
      </c>
    </row>
    <row r="323" spans="2:6" x14ac:dyDescent="0.2">
      <c r="B323" s="6">
        <f t="shared" si="8"/>
        <v>320</v>
      </c>
      <c r="C323" s="81" t="e">
        <f ca="1">VLOOKUP(B323,Calc!$K$66:$L$76,2,FALSE)</f>
        <v>#N/A</v>
      </c>
      <c r="D323" s="81" t="e">
        <f ca="1">VLOOKUP(B323,Calc!$K$77:$L$87,2,FALSE)</f>
        <v>#N/A</v>
      </c>
      <c r="E323" s="523" t="e">
        <f ca="1">VLOOKUP(B323,Calc!$K$88:$L$98,2,FALSE)</f>
        <v>#N/A</v>
      </c>
      <c r="F323" s="523" t="e">
        <f ca="1">IF(Errorhandling!$C$42,INDEX(Calc!$J$99:$J$109,MATCH(Display!B323,Calc!$K$99:$K$109,0),1),#N/A)</f>
        <v>#N/A</v>
      </c>
    </row>
    <row r="324" spans="2:6" x14ac:dyDescent="0.2">
      <c r="B324" s="6">
        <f t="shared" si="8"/>
        <v>321</v>
      </c>
      <c r="C324" s="81" t="e">
        <f ca="1">VLOOKUP(B324,Calc!$K$66:$L$76,2,FALSE)</f>
        <v>#N/A</v>
      </c>
      <c r="D324" s="81" t="e">
        <f ca="1">VLOOKUP(B324,Calc!$K$77:$L$87,2,FALSE)</f>
        <v>#N/A</v>
      </c>
      <c r="E324" s="523" t="e">
        <f ca="1">VLOOKUP(B324,Calc!$K$88:$L$98,2,FALSE)</f>
        <v>#N/A</v>
      </c>
      <c r="F324" s="523" t="e">
        <f ca="1">IF(Errorhandling!$C$42,INDEX(Calc!$J$99:$J$109,MATCH(Display!B324,Calc!$K$99:$K$109,0),1),#N/A)</f>
        <v>#N/A</v>
      </c>
    </row>
    <row r="325" spans="2:6" x14ac:dyDescent="0.2">
      <c r="B325" s="6">
        <f t="shared" si="8"/>
        <v>322</v>
      </c>
      <c r="C325" s="81" t="e">
        <f ca="1">VLOOKUP(B325,Calc!$K$66:$L$76,2,FALSE)</f>
        <v>#N/A</v>
      </c>
      <c r="D325" s="81" t="e">
        <f ca="1">VLOOKUP(B325,Calc!$K$77:$L$87,2,FALSE)</f>
        <v>#N/A</v>
      </c>
      <c r="E325" s="523" t="e">
        <f ca="1">VLOOKUP(B325,Calc!$K$88:$L$98,2,FALSE)</f>
        <v>#N/A</v>
      </c>
      <c r="F325" s="523" t="e">
        <f ca="1">IF(Errorhandling!$C$42,INDEX(Calc!$J$99:$J$109,MATCH(Display!B325,Calc!$K$99:$K$109,0),1),#N/A)</f>
        <v>#N/A</v>
      </c>
    </row>
    <row r="326" spans="2:6" x14ac:dyDescent="0.2">
      <c r="B326" s="6">
        <f t="shared" ref="B326:B389" si="9">1+B325</f>
        <v>323</v>
      </c>
      <c r="C326" s="81" t="e">
        <f ca="1">VLOOKUP(B326,Calc!$K$66:$L$76,2,FALSE)</f>
        <v>#N/A</v>
      </c>
      <c r="D326" s="81" t="e">
        <f ca="1">VLOOKUP(B326,Calc!$K$77:$L$87,2,FALSE)</f>
        <v>#N/A</v>
      </c>
      <c r="E326" s="523" t="e">
        <f ca="1">VLOOKUP(B326,Calc!$K$88:$L$98,2,FALSE)</f>
        <v>#N/A</v>
      </c>
      <c r="F326" s="523" t="e">
        <f ca="1">IF(Errorhandling!$C$42,INDEX(Calc!$J$99:$J$109,MATCH(Display!B326,Calc!$K$99:$K$109,0),1),#N/A)</f>
        <v>#N/A</v>
      </c>
    </row>
    <row r="327" spans="2:6" x14ac:dyDescent="0.2">
      <c r="B327" s="6">
        <f t="shared" si="9"/>
        <v>324</v>
      </c>
      <c r="C327" s="81" t="e">
        <f ca="1">VLOOKUP(B327,Calc!$K$66:$L$76,2,FALSE)</f>
        <v>#N/A</v>
      </c>
      <c r="D327" s="81" t="e">
        <f ca="1">VLOOKUP(B327,Calc!$K$77:$L$87,2,FALSE)</f>
        <v>#N/A</v>
      </c>
      <c r="E327" s="523" t="e">
        <f ca="1">VLOOKUP(B327,Calc!$K$88:$L$98,2,FALSE)</f>
        <v>#N/A</v>
      </c>
      <c r="F327" s="523" t="e">
        <f ca="1">IF(Errorhandling!$C$42,INDEX(Calc!$J$99:$J$109,MATCH(Display!B327,Calc!$K$99:$K$109,0),1),#N/A)</f>
        <v>#N/A</v>
      </c>
    </row>
    <row r="328" spans="2:6" x14ac:dyDescent="0.2">
      <c r="B328" s="6">
        <f t="shared" si="9"/>
        <v>325</v>
      </c>
      <c r="C328" s="81" t="e">
        <f ca="1">VLOOKUP(B328,Calc!$K$66:$L$76,2,FALSE)</f>
        <v>#N/A</v>
      </c>
      <c r="D328" s="81" t="e">
        <f ca="1">VLOOKUP(B328,Calc!$K$77:$L$87,2,FALSE)</f>
        <v>#N/A</v>
      </c>
      <c r="E328" s="523" t="e">
        <f ca="1">VLOOKUP(B328,Calc!$K$88:$L$98,2,FALSE)</f>
        <v>#N/A</v>
      </c>
      <c r="F328" s="523" t="e">
        <f ca="1">IF(Errorhandling!$C$42,INDEX(Calc!$J$99:$J$109,MATCH(Display!B328,Calc!$K$99:$K$109,0),1),#N/A)</f>
        <v>#N/A</v>
      </c>
    </row>
    <row r="329" spans="2:6" x14ac:dyDescent="0.2">
      <c r="B329" s="6">
        <f t="shared" si="9"/>
        <v>326</v>
      </c>
      <c r="C329" s="81" t="e">
        <f ca="1">VLOOKUP(B329,Calc!$K$66:$L$76,2,FALSE)</f>
        <v>#N/A</v>
      </c>
      <c r="D329" s="81" t="e">
        <f ca="1">VLOOKUP(B329,Calc!$K$77:$L$87,2,FALSE)</f>
        <v>#N/A</v>
      </c>
      <c r="E329" s="523" t="e">
        <f ca="1">VLOOKUP(B329,Calc!$K$88:$L$98,2,FALSE)</f>
        <v>#N/A</v>
      </c>
      <c r="F329" s="523" t="e">
        <f ca="1">IF(Errorhandling!$C$42,INDEX(Calc!$J$99:$J$109,MATCH(Display!B329,Calc!$K$99:$K$109,0),1),#N/A)</f>
        <v>#N/A</v>
      </c>
    </row>
    <row r="330" spans="2:6" x14ac:dyDescent="0.2">
      <c r="B330" s="6">
        <f t="shared" si="9"/>
        <v>327</v>
      </c>
      <c r="C330" s="81" t="e">
        <f ca="1">VLOOKUP(B330,Calc!$K$66:$L$76,2,FALSE)</f>
        <v>#N/A</v>
      </c>
      <c r="D330" s="81" t="e">
        <f ca="1">VLOOKUP(B330,Calc!$K$77:$L$87,2,FALSE)</f>
        <v>#N/A</v>
      </c>
      <c r="E330" s="523" t="e">
        <f ca="1">VLOOKUP(B330,Calc!$K$88:$L$98,2,FALSE)</f>
        <v>#N/A</v>
      </c>
      <c r="F330" s="523" t="e">
        <f ca="1">IF(Errorhandling!$C$42,INDEX(Calc!$J$99:$J$109,MATCH(Display!B330,Calc!$K$99:$K$109,0),1),#N/A)</f>
        <v>#N/A</v>
      </c>
    </row>
    <row r="331" spans="2:6" x14ac:dyDescent="0.2">
      <c r="B331" s="6">
        <f t="shared" si="9"/>
        <v>328</v>
      </c>
      <c r="C331" s="81" t="e">
        <f ca="1">VLOOKUP(B331,Calc!$K$66:$L$76,2,FALSE)</f>
        <v>#N/A</v>
      </c>
      <c r="D331" s="81" t="e">
        <f ca="1">VLOOKUP(B331,Calc!$K$77:$L$87,2,FALSE)</f>
        <v>#N/A</v>
      </c>
      <c r="E331" s="523" t="e">
        <f ca="1">VLOOKUP(B331,Calc!$K$88:$L$98,2,FALSE)</f>
        <v>#N/A</v>
      </c>
      <c r="F331" s="523" t="e">
        <f ca="1">IF(Errorhandling!$C$42,INDEX(Calc!$J$99:$J$109,MATCH(Display!B331,Calc!$K$99:$K$109,0),1),#N/A)</f>
        <v>#N/A</v>
      </c>
    </row>
    <row r="332" spans="2:6" x14ac:dyDescent="0.2">
      <c r="B332" s="6">
        <f t="shared" si="9"/>
        <v>329</v>
      </c>
      <c r="C332" s="81" t="e">
        <f ca="1">VLOOKUP(B332,Calc!$K$66:$L$76,2,FALSE)</f>
        <v>#N/A</v>
      </c>
      <c r="D332" s="81" t="e">
        <f ca="1">VLOOKUP(B332,Calc!$K$77:$L$87,2,FALSE)</f>
        <v>#N/A</v>
      </c>
      <c r="E332" s="523" t="e">
        <f ca="1">VLOOKUP(B332,Calc!$K$88:$L$98,2,FALSE)</f>
        <v>#N/A</v>
      </c>
      <c r="F332" s="523" t="e">
        <f ca="1">IF(Errorhandling!$C$42,INDEX(Calc!$J$99:$J$109,MATCH(Display!B332,Calc!$K$99:$K$109,0),1),#N/A)</f>
        <v>#N/A</v>
      </c>
    </row>
    <row r="333" spans="2:6" x14ac:dyDescent="0.2">
      <c r="B333" s="6">
        <f t="shared" si="9"/>
        <v>330</v>
      </c>
      <c r="C333" s="81" t="e">
        <f ca="1">VLOOKUP(B333,Calc!$K$66:$L$76,2,FALSE)</f>
        <v>#N/A</v>
      </c>
      <c r="D333" s="81" t="e">
        <f ca="1">VLOOKUP(B333,Calc!$K$77:$L$87,2,FALSE)</f>
        <v>#N/A</v>
      </c>
      <c r="E333" s="523" t="e">
        <f ca="1">VLOOKUP(B333,Calc!$K$88:$L$98,2,FALSE)</f>
        <v>#N/A</v>
      </c>
      <c r="F333" s="523" t="e">
        <f ca="1">IF(Errorhandling!$C$42,INDEX(Calc!$J$99:$J$109,MATCH(Display!B333,Calc!$K$99:$K$109,0),1),#N/A)</f>
        <v>#N/A</v>
      </c>
    </row>
    <row r="334" spans="2:6" x14ac:dyDescent="0.2">
      <c r="B334" s="6">
        <f t="shared" si="9"/>
        <v>331</v>
      </c>
      <c r="C334" s="81" t="e">
        <f ca="1">VLOOKUP(B334,Calc!$K$66:$L$76,2,FALSE)</f>
        <v>#N/A</v>
      </c>
      <c r="D334" s="81" t="e">
        <f ca="1">VLOOKUP(B334,Calc!$K$77:$L$87,2,FALSE)</f>
        <v>#N/A</v>
      </c>
      <c r="E334" s="523" t="e">
        <f ca="1">VLOOKUP(B334,Calc!$K$88:$L$98,2,FALSE)</f>
        <v>#N/A</v>
      </c>
      <c r="F334" s="523" t="e">
        <f ca="1">IF(Errorhandling!$C$42,INDEX(Calc!$J$99:$J$109,MATCH(Display!B334,Calc!$K$99:$K$109,0),1),#N/A)</f>
        <v>#N/A</v>
      </c>
    </row>
    <row r="335" spans="2:6" x14ac:dyDescent="0.2">
      <c r="B335" s="6">
        <f t="shared" si="9"/>
        <v>332</v>
      </c>
      <c r="C335" s="81" t="e">
        <f ca="1">VLOOKUP(B335,Calc!$K$66:$L$76,2,FALSE)</f>
        <v>#N/A</v>
      </c>
      <c r="D335" s="81" t="e">
        <f ca="1">VLOOKUP(B335,Calc!$K$77:$L$87,2,FALSE)</f>
        <v>#N/A</v>
      </c>
      <c r="E335" s="523" t="e">
        <f ca="1">VLOOKUP(B335,Calc!$K$88:$L$98,2,FALSE)</f>
        <v>#N/A</v>
      </c>
      <c r="F335" s="523" t="e">
        <f ca="1">IF(Errorhandling!$C$42,INDEX(Calc!$J$99:$J$109,MATCH(Display!B335,Calc!$K$99:$K$109,0),1),#N/A)</f>
        <v>#N/A</v>
      </c>
    </row>
    <row r="336" spans="2:6" x14ac:dyDescent="0.2">
      <c r="B336" s="6">
        <f t="shared" si="9"/>
        <v>333</v>
      </c>
      <c r="C336" s="81" t="e">
        <f ca="1">VLOOKUP(B336,Calc!$K$66:$L$76,2,FALSE)</f>
        <v>#N/A</v>
      </c>
      <c r="D336" s="81" t="e">
        <f ca="1">VLOOKUP(B336,Calc!$K$77:$L$87,2,FALSE)</f>
        <v>#N/A</v>
      </c>
      <c r="E336" s="523" t="e">
        <f ca="1">VLOOKUP(B336,Calc!$K$88:$L$98,2,FALSE)</f>
        <v>#N/A</v>
      </c>
      <c r="F336" s="523" t="e">
        <f ca="1">IF(Errorhandling!$C$42,INDEX(Calc!$J$99:$J$109,MATCH(Display!B336,Calc!$K$99:$K$109,0),1),#N/A)</f>
        <v>#N/A</v>
      </c>
    </row>
    <row r="337" spans="2:6" x14ac:dyDescent="0.2">
      <c r="B337" s="6">
        <f t="shared" si="9"/>
        <v>334</v>
      </c>
      <c r="C337" s="81" t="e">
        <f ca="1">VLOOKUP(B337,Calc!$K$66:$L$76,2,FALSE)</f>
        <v>#N/A</v>
      </c>
      <c r="D337" s="81" t="e">
        <f ca="1">VLOOKUP(B337,Calc!$K$77:$L$87,2,FALSE)</f>
        <v>#N/A</v>
      </c>
      <c r="E337" s="523" t="e">
        <f ca="1">VLOOKUP(B337,Calc!$K$88:$L$98,2,FALSE)</f>
        <v>#N/A</v>
      </c>
      <c r="F337" s="523" t="e">
        <f ca="1">IF(Errorhandling!$C$42,INDEX(Calc!$J$99:$J$109,MATCH(Display!B337,Calc!$K$99:$K$109,0),1),#N/A)</f>
        <v>#N/A</v>
      </c>
    </row>
    <row r="338" spans="2:6" x14ac:dyDescent="0.2">
      <c r="B338" s="6">
        <f t="shared" si="9"/>
        <v>335</v>
      </c>
      <c r="C338" s="81" t="e">
        <f ca="1">VLOOKUP(B338,Calc!$K$66:$L$76,2,FALSE)</f>
        <v>#N/A</v>
      </c>
      <c r="D338" s="81" t="e">
        <f ca="1">VLOOKUP(B338,Calc!$K$77:$L$87,2,FALSE)</f>
        <v>#N/A</v>
      </c>
      <c r="E338" s="523" t="e">
        <f ca="1">VLOOKUP(B338,Calc!$K$88:$L$98,2,FALSE)</f>
        <v>#N/A</v>
      </c>
      <c r="F338" s="523" t="e">
        <f ca="1">IF(Errorhandling!$C$42,INDEX(Calc!$J$99:$J$109,MATCH(Display!B338,Calc!$K$99:$K$109,0),1),#N/A)</f>
        <v>#N/A</v>
      </c>
    </row>
    <row r="339" spans="2:6" x14ac:dyDescent="0.2">
      <c r="B339" s="6">
        <f t="shared" si="9"/>
        <v>336</v>
      </c>
      <c r="C339" s="81" t="e">
        <f ca="1">VLOOKUP(B339,Calc!$K$66:$L$76,2,FALSE)</f>
        <v>#N/A</v>
      </c>
      <c r="D339" s="81" t="e">
        <f ca="1">VLOOKUP(B339,Calc!$K$77:$L$87,2,FALSE)</f>
        <v>#N/A</v>
      </c>
      <c r="E339" s="523" t="e">
        <f ca="1">VLOOKUP(B339,Calc!$K$88:$L$98,2,FALSE)</f>
        <v>#N/A</v>
      </c>
      <c r="F339" s="523" t="e">
        <f ca="1">IF(Errorhandling!$C$42,INDEX(Calc!$J$99:$J$109,MATCH(Display!B339,Calc!$K$99:$K$109,0),1),#N/A)</f>
        <v>#N/A</v>
      </c>
    </row>
    <row r="340" spans="2:6" x14ac:dyDescent="0.2">
      <c r="B340" s="6">
        <f t="shared" si="9"/>
        <v>337</v>
      </c>
      <c r="C340" s="81" t="e">
        <f ca="1">VLOOKUP(B340,Calc!$K$66:$L$76,2,FALSE)</f>
        <v>#N/A</v>
      </c>
      <c r="D340" s="81" t="e">
        <f ca="1">VLOOKUP(B340,Calc!$K$77:$L$87,2,FALSE)</f>
        <v>#N/A</v>
      </c>
      <c r="E340" s="523" t="e">
        <f ca="1">VLOOKUP(B340,Calc!$K$88:$L$98,2,FALSE)</f>
        <v>#N/A</v>
      </c>
      <c r="F340" s="523" t="e">
        <f ca="1">IF(Errorhandling!$C$42,INDEX(Calc!$J$99:$J$109,MATCH(Display!B340,Calc!$K$99:$K$109,0),1),#N/A)</f>
        <v>#N/A</v>
      </c>
    </row>
    <row r="341" spans="2:6" x14ac:dyDescent="0.2">
      <c r="B341" s="6">
        <f t="shared" si="9"/>
        <v>338</v>
      </c>
      <c r="C341" s="81" t="e">
        <f ca="1">VLOOKUP(B341,Calc!$K$66:$L$76,2,FALSE)</f>
        <v>#N/A</v>
      </c>
      <c r="D341" s="81" t="e">
        <f ca="1">VLOOKUP(B341,Calc!$K$77:$L$87,2,FALSE)</f>
        <v>#N/A</v>
      </c>
      <c r="E341" s="523" t="e">
        <f ca="1">VLOOKUP(B341,Calc!$K$88:$L$98,2,FALSE)</f>
        <v>#N/A</v>
      </c>
      <c r="F341" s="523" t="e">
        <f ca="1">IF(Errorhandling!$C$42,INDEX(Calc!$J$99:$J$109,MATCH(Display!B341,Calc!$K$99:$K$109,0),1),#N/A)</f>
        <v>#N/A</v>
      </c>
    </row>
    <row r="342" spans="2:6" x14ac:dyDescent="0.2">
      <c r="B342" s="6">
        <f t="shared" si="9"/>
        <v>339</v>
      </c>
      <c r="C342" s="81" t="e">
        <f ca="1">VLOOKUP(B342,Calc!$K$66:$L$76,2,FALSE)</f>
        <v>#N/A</v>
      </c>
      <c r="D342" s="81" t="e">
        <f ca="1">VLOOKUP(B342,Calc!$K$77:$L$87,2,FALSE)</f>
        <v>#N/A</v>
      </c>
      <c r="E342" s="523" t="e">
        <f ca="1">VLOOKUP(B342,Calc!$K$88:$L$98,2,FALSE)</f>
        <v>#N/A</v>
      </c>
      <c r="F342" s="523" t="e">
        <f ca="1">IF(Errorhandling!$C$42,INDEX(Calc!$J$99:$J$109,MATCH(Display!B342,Calc!$K$99:$K$109,0),1),#N/A)</f>
        <v>#N/A</v>
      </c>
    </row>
    <row r="343" spans="2:6" x14ac:dyDescent="0.2">
      <c r="B343" s="6">
        <f t="shared" si="9"/>
        <v>340</v>
      </c>
      <c r="C343" s="81" t="e">
        <f ca="1">VLOOKUP(B343,Calc!$K$66:$L$76,2,FALSE)</f>
        <v>#N/A</v>
      </c>
      <c r="D343" s="81" t="e">
        <f ca="1">VLOOKUP(B343,Calc!$K$77:$L$87,2,FALSE)</f>
        <v>#N/A</v>
      </c>
      <c r="E343" s="523" t="e">
        <f ca="1">VLOOKUP(B343,Calc!$K$88:$L$98,2,FALSE)</f>
        <v>#N/A</v>
      </c>
      <c r="F343" s="523" t="e">
        <f ca="1">IF(Errorhandling!$C$42,INDEX(Calc!$J$99:$J$109,MATCH(Display!B343,Calc!$K$99:$K$109,0),1),#N/A)</f>
        <v>#N/A</v>
      </c>
    </row>
    <row r="344" spans="2:6" x14ac:dyDescent="0.2">
      <c r="B344" s="6">
        <f t="shared" si="9"/>
        <v>341</v>
      </c>
      <c r="C344" s="81" t="e">
        <f ca="1">VLOOKUP(B344,Calc!$K$66:$L$76,2,FALSE)</f>
        <v>#N/A</v>
      </c>
      <c r="D344" s="81" t="e">
        <f ca="1">VLOOKUP(B344,Calc!$K$77:$L$87,2,FALSE)</f>
        <v>#N/A</v>
      </c>
      <c r="E344" s="523" t="e">
        <f ca="1">VLOOKUP(B344,Calc!$K$88:$L$98,2,FALSE)</f>
        <v>#N/A</v>
      </c>
      <c r="F344" s="523" t="e">
        <f ca="1">IF(Errorhandling!$C$42,INDEX(Calc!$J$99:$J$109,MATCH(Display!B344,Calc!$K$99:$K$109,0),1),#N/A)</f>
        <v>#N/A</v>
      </c>
    </row>
    <row r="345" spans="2:6" x14ac:dyDescent="0.2">
      <c r="B345" s="6">
        <f t="shared" si="9"/>
        <v>342</v>
      </c>
      <c r="C345" s="81" t="e">
        <f ca="1">VLOOKUP(B345,Calc!$K$66:$L$76,2,FALSE)</f>
        <v>#N/A</v>
      </c>
      <c r="D345" s="81" t="e">
        <f ca="1">VLOOKUP(B345,Calc!$K$77:$L$87,2,FALSE)</f>
        <v>#N/A</v>
      </c>
      <c r="E345" s="523" t="e">
        <f ca="1">VLOOKUP(B345,Calc!$K$88:$L$98,2,FALSE)</f>
        <v>#N/A</v>
      </c>
      <c r="F345" s="523" t="e">
        <f ca="1">IF(Errorhandling!$C$42,INDEX(Calc!$J$99:$J$109,MATCH(Display!B345,Calc!$K$99:$K$109,0),1),#N/A)</f>
        <v>#N/A</v>
      </c>
    </row>
    <row r="346" spans="2:6" x14ac:dyDescent="0.2">
      <c r="B346" s="6">
        <f t="shared" si="9"/>
        <v>343</v>
      </c>
      <c r="C346" s="81" t="e">
        <f ca="1">VLOOKUP(B346,Calc!$K$66:$L$76,2,FALSE)</f>
        <v>#N/A</v>
      </c>
      <c r="D346" s="81" t="e">
        <f ca="1">VLOOKUP(B346,Calc!$K$77:$L$87,2,FALSE)</f>
        <v>#N/A</v>
      </c>
      <c r="E346" s="523" t="e">
        <f ca="1">VLOOKUP(B346,Calc!$K$88:$L$98,2,FALSE)</f>
        <v>#N/A</v>
      </c>
      <c r="F346" s="523" t="e">
        <f ca="1">IF(Errorhandling!$C$42,INDEX(Calc!$J$99:$J$109,MATCH(Display!B346,Calc!$K$99:$K$109,0),1),#N/A)</f>
        <v>#N/A</v>
      </c>
    </row>
    <row r="347" spans="2:6" x14ac:dyDescent="0.2">
      <c r="B347" s="6">
        <f t="shared" si="9"/>
        <v>344</v>
      </c>
      <c r="C347" s="81" t="e">
        <f ca="1">VLOOKUP(B347,Calc!$K$66:$L$76,2,FALSE)</f>
        <v>#N/A</v>
      </c>
      <c r="D347" s="81" t="e">
        <f ca="1">VLOOKUP(B347,Calc!$K$77:$L$87,2,FALSE)</f>
        <v>#N/A</v>
      </c>
      <c r="E347" s="523" t="e">
        <f ca="1">VLOOKUP(B347,Calc!$K$88:$L$98,2,FALSE)</f>
        <v>#N/A</v>
      </c>
      <c r="F347" s="523" t="e">
        <f ca="1">IF(Errorhandling!$C$42,INDEX(Calc!$J$99:$J$109,MATCH(Display!B347,Calc!$K$99:$K$109,0),1),#N/A)</f>
        <v>#N/A</v>
      </c>
    </row>
    <row r="348" spans="2:6" x14ac:dyDescent="0.2">
      <c r="B348" s="6">
        <f t="shared" si="9"/>
        <v>345</v>
      </c>
      <c r="C348" s="81" t="e">
        <f ca="1">VLOOKUP(B348,Calc!$K$66:$L$76,2,FALSE)</f>
        <v>#N/A</v>
      </c>
      <c r="D348" s="81" t="e">
        <f ca="1">VLOOKUP(B348,Calc!$K$77:$L$87,2,FALSE)</f>
        <v>#N/A</v>
      </c>
      <c r="E348" s="523" t="e">
        <f ca="1">VLOOKUP(B348,Calc!$K$88:$L$98,2,FALSE)</f>
        <v>#N/A</v>
      </c>
      <c r="F348" s="523" t="e">
        <f ca="1">IF(Errorhandling!$C$42,INDEX(Calc!$J$99:$J$109,MATCH(Display!B348,Calc!$K$99:$K$109,0),1),#N/A)</f>
        <v>#N/A</v>
      </c>
    </row>
    <row r="349" spans="2:6" x14ac:dyDescent="0.2">
      <c r="B349" s="6">
        <f t="shared" si="9"/>
        <v>346</v>
      </c>
      <c r="C349" s="81" t="e">
        <f ca="1">VLOOKUP(B349,Calc!$K$66:$L$76,2,FALSE)</f>
        <v>#N/A</v>
      </c>
      <c r="D349" s="81" t="e">
        <f ca="1">VLOOKUP(B349,Calc!$K$77:$L$87,2,FALSE)</f>
        <v>#N/A</v>
      </c>
      <c r="E349" s="523" t="e">
        <f ca="1">VLOOKUP(B349,Calc!$K$88:$L$98,2,FALSE)</f>
        <v>#N/A</v>
      </c>
      <c r="F349" s="523" t="e">
        <f ca="1">IF(Errorhandling!$C$42,INDEX(Calc!$J$99:$J$109,MATCH(Display!B349,Calc!$K$99:$K$109,0),1),#N/A)</f>
        <v>#N/A</v>
      </c>
    </row>
    <row r="350" spans="2:6" x14ac:dyDescent="0.2">
      <c r="B350" s="6">
        <f t="shared" si="9"/>
        <v>347</v>
      </c>
      <c r="C350" s="81" t="e">
        <f ca="1">VLOOKUP(B350,Calc!$K$66:$L$76,2,FALSE)</f>
        <v>#N/A</v>
      </c>
      <c r="D350" s="81" t="e">
        <f ca="1">VLOOKUP(B350,Calc!$K$77:$L$87,2,FALSE)</f>
        <v>#N/A</v>
      </c>
      <c r="E350" s="523" t="e">
        <f ca="1">VLOOKUP(B350,Calc!$K$88:$L$98,2,FALSE)</f>
        <v>#N/A</v>
      </c>
      <c r="F350" s="523" t="e">
        <f ca="1">IF(Errorhandling!$C$42,INDEX(Calc!$J$99:$J$109,MATCH(Display!B350,Calc!$K$99:$K$109,0),1),#N/A)</f>
        <v>#N/A</v>
      </c>
    </row>
    <row r="351" spans="2:6" x14ac:dyDescent="0.2">
      <c r="B351" s="6">
        <f t="shared" si="9"/>
        <v>348</v>
      </c>
      <c r="C351" s="81" t="e">
        <f ca="1">VLOOKUP(B351,Calc!$K$66:$L$76,2,FALSE)</f>
        <v>#N/A</v>
      </c>
      <c r="D351" s="81" t="e">
        <f ca="1">VLOOKUP(B351,Calc!$K$77:$L$87,2,FALSE)</f>
        <v>#N/A</v>
      </c>
      <c r="E351" s="523" t="e">
        <f ca="1">VLOOKUP(B351,Calc!$K$88:$L$98,2,FALSE)</f>
        <v>#N/A</v>
      </c>
      <c r="F351" s="523" t="e">
        <f ca="1">IF(Errorhandling!$C$42,INDEX(Calc!$J$99:$J$109,MATCH(Display!B351,Calc!$K$99:$K$109,0),1),#N/A)</f>
        <v>#N/A</v>
      </c>
    </row>
    <row r="352" spans="2:6" x14ac:dyDescent="0.2">
      <c r="B352" s="6">
        <f t="shared" si="9"/>
        <v>349</v>
      </c>
      <c r="C352" s="81" t="e">
        <f ca="1">VLOOKUP(B352,Calc!$K$66:$L$76,2,FALSE)</f>
        <v>#N/A</v>
      </c>
      <c r="D352" s="81" t="e">
        <f ca="1">VLOOKUP(B352,Calc!$K$77:$L$87,2,FALSE)</f>
        <v>#N/A</v>
      </c>
      <c r="E352" s="523" t="e">
        <f ca="1">VLOOKUP(B352,Calc!$K$88:$L$98,2,FALSE)</f>
        <v>#N/A</v>
      </c>
      <c r="F352" s="523" t="e">
        <f ca="1">IF(Errorhandling!$C$42,INDEX(Calc!$J$99:$J$109,MATCH(Display!B352,Calc!$K$99:$K$109,0),1),#N/A)</f>
        <v>#N/A</v>
      </c>
    </row>
    <row r="353" spans="2:6" x14ac:dyDescent="0.2">
      <c r="B353" s="6">
        <f t="shared" si="9"/>
        <v>350</v>
      </c>
      <c r="C353" s="81" t="e">
        <f ca="1">VLOOKUP(B353,Calc!$K$66:$L$76,2,FALSE)</f>
        <v>#N/A</v>
      </c>
      <c r="D353" s="81" t="e">
        <f ca="1">VLOOKUP(B353,Calc!$K$77:$L$87,2,FALSE)</f>
        <v>#N/A</v>
      </c>
      <c r="E353" s="523" t="e">
        <f ca="1">VLOOKUP(B353,Calc!$K$88:$L$98,2,FALSE)</f>
        <v>#N/A</v>
      </c>
      <c r="F353" s="523" t="e">
        <f ca="1">IF(Errorhandling!$C$42,INDEX(Calc!$J$99:$J$109,MATCH(Display!B353,Calc!$K$99:$K$109,0),1),#N/A)</f>
        <v>#N/A</v>
      </c>
    </row>
    <row r="354" spans="2:6" x14ac:dyDescent="0.2">
      <c r="B354" s="6">
        <f t="shared" si="9"/>
        <v>351</v>
      </c>
      <c r="C354" s="81" t="e">
        <f ca="1">VLOOKUP(B354,Calc!$K$66:$L$76,2,FALSE)</f>
        <v>#N/A</v>
      </c>
      <c r="D354" s="81" t="e">
        <f ca="1">VLOOKUP(B354,Calc!$K$77:$L$87,2,FALSE)</f>
        <v>#N/A</v>
      </c>
      <c r="E354" s="523" t="e">
        <f ca="1">VLOOKUP(B354,Calc!$K$88:$L$98,2,FALSE)</f>
        <v>#N/A</v>
      </c>
      <c r="F354" s="523" t="e">
        <f ca="1">IF(Errorhandling!$C$42,INDEX(Calc!$J$99:$J$109,MATCH(Display!B354,Calc!$K$99:$K$109,0),1),#N/A)</f>
        <v>#N/A</v>
      </c>
    </row>
    <row r="355" spans="2:6" x14ac:dyDescent="0.2">
      <c r="B355" s="6">
        <f t="shared" si="9"/>
        <v>352</v>
      </c>
      <c r="C355" s="81" t="e">
        <f ca="1">VLOOKUP(B355,Calc!$K$66:$L$76,2,FALSE)</f>
        <v>#N/A</v>
      </c>
      <c r="D355" s="81" t="e">
        <f ca="1">VLOOKUP(B355,Calc!$K$77:$L$87,2,FALSE)</f>
        <v>#N/A</v>
      </c>
      <c r="E355" s="523" t="e">
        <f ca="1">VLOOKUP(B355,Calc!$K$88:$L$98,2,FALSE)</f>
        <v>#N/A</v>
      </c>
      <c r="F355" s="523" t="e">
        <f ca="1">IF(Errorhandling!$C$42,INDEX(Calc!$J$99:$J$109,MATCH(Display!B355,Calc!$K$99:$K$109,0),1),#N/A)</f>
        <v>#N/A</v>
      </c>
    </row>
    <row r="356" spans="2:6" x14ac:dyDescent="0.2">
      <c r="B356" s="6">
        <f t="shared" si="9"/>
        <v>353</v>
      </c>
      <c r="C356" s="81" t="e">
        <f ca="1">VLOOKUP(B356,Calc!$K$66:$L$76,2,FALSE)</f>
        <v>#N/A</v>
      </c>
      <c r="D356" s="81" t="e">
        <f ca="1">VLOOKUP(B356,Calc!$K$77:$L$87,2,FALSE)</f>
        <v>#N/A</v>
      </c>
      <c r="E356" s="523" t="e">
        <f ca="1">VLOOKUP(B356,Calc!$K$88:$L$98,2,FALSE)</f>
        <v>#N/A</v>
      </c>
      <c r="F356" s="523" t="e">
        <f ca="1">IF(Errorhandling!$C$42,INDEX(Calc!$J$99:$J$109,MATCH(Display!B356,Calc!$K$99:$K$109,0),1),#N/A)</f>
        <v>#N/A</v>
      </c>
    </row>
    <row r="357" spans="2:6" x14ac:dyDescent="0.2">
      <c r="B357" s="6">
        <f t="shared" si="9"/>
        <v>354</v>
      </c>
      <c r="C357" s="81" t="e">
        <f ca="1">VLOOKUP(B357,Calc!$K$66:$L$76,2,FALSE)</f>
        <v>#N/A</v>
      </c>
      <c r="D357" s="81" t="e">
        <f ca="1">VLOOKUP(B357,Calc!$K$77:$L$87,2,FALSE)</f>
        <v>#N/A</v>
      </c>
      <c r="E357" s="523" t="e">
        <f ca="1">VLOOKUP(B357,Calc!$K$88:$L$98,2,FALSE)</f>
        <v>#N/A</v>
      </c>
      <c r="F357" s="523" t="e">
        <f ca="1">IF(Errorhandling!$C$42,INDEX(Calc!$J$99:$J$109,MATCH(Display!B357,Calc!$K$99:$K$109,0),1),#N/A)</f>
        <v>#N/A</v>
      </c>
    </row>
    <row r="358" spans="2:6" x14ac:dyDescent="0.2">
      <c r="B358" s="6">
        <f t="shared" si="9"/>
        <v>355</v>
      </c>
      <c r="C358" s="81" t="e">
        <f ca="1">VLOOKUP(B358,Calc!$K$66:$L$76,2,FALSE)</f>
        <v>#N/A</v>
      </c>
      <c r="D358" s="81" t="e">
        <f ca="1">VLOOKUP(B358,Calc!$K$77:$L$87,2,FALSE)</f>
        <v>#N/A</v>
      </c>
      <c r="E358" s="523" t="e">
        <f ca="1">VLOOKUP(B358,Calc!$K$88:$L$98,2,FALSE)</f>
        <v>#N/A</v>
      </c>
      <c r="F358" s="523" t="e">
        <f ca="1">IF(Errorhandling!$C$42,INDEX(Calc!$J$99:$J$109,MATCH(Display!B358,Calc!$K$99:$K$109,0),1),#N/A)</f>
        <v>#N/A</v>
      </c>
    </row>
    <row r="359" spans="2:6" x14ac:dyDescent="0.2">
      <c r="B359" s="6">
        <f t="shared" si="9"/>
        <v>356</v>
      </c>
      <c r="C359" s="81" t="e">
        <f ca="1">VLOOKUP(B359,Calc!$K$66:$L$76,2,FALSE)</f>
        <v>#N/A</v>
      </c>
      <c r="D359" s="81" t="e">
        <f ca="1">VLOOKUP(B359,Calc!$K$77:$L$87,2,FALSE)</f>
        <v>#N/A</v>
      </c>
      <c r="E359" s="523" t="e">
        <f ca="1">VLOOKUP(B359,Calc!$K$88:$L$98,2,FALSE)</f>
        <v>#N/A</v>
      </c>
      <c r="F359" s="523" t="e">
        <f ca="1">IF(Errorhandling!$C$42,INDEX(Calc!$J$99:$J$109,MATCH(Display!B359,Calc!$K$99:$K$109,0),1),#N/A)</f>
        <v>#N/A</v>
      </c>
    </row>
    <row r="360" spans="2:6" x14ac:dyDescent="0.2">
      <c r="B360" s="6">
        <f t="shared" si="9"/>
        <v>357</v>
      </c>
      <c r="C360" s="81" t="e">
        <f ca="1">VLOOKUP(B360,Calc!$K$66:$L$76,2,FALSE)</f>
        <v>#N/A</v>
      </c>
      <c r="D360" s="81" t="e">
        <f ca="1">VLOOKUP(B360,Calc!$K$77:$L$87,2,FALSE)</f>
        <v>#N/A</v>
      </c>
      <c r="E360" s="523" t="e">
        <f ca="1">VLOOKUP(B360,Calc!$K$88:$L$98,2,FALSE)</f>
        <v>#N/A</v>
      </c>
      <c r="F360" s="523" t="e">
        <f ca="1">IF(Errorhandling!$C$42,INDEX(Calc!$J$99:$J$109,MATCH(Display!B360,Calc!$K$99:$K$109,0),1),#N/A)</f>
        <v>#N/A</v>
      </c>
    </row>
    <row r="361" spans="2:6" x14ac:dyDescent="0.2">
      <c r="B361" s="6">
        <f t="shared" si="9"/>
        <v>358</v>
      </c>
      <c r="C361" s="81" t="e">
        <f ca="1">VLOOKUP(B361,Calc!$K$66:$L$76,2,FALSE)</f>
        <v>#N/A</v>
      </c>
      <c r="D361" s="81" t="e">
        <f ca="1">VLOOKUP(B361,Calc!$K$77:$L$87,2,FALSE)</f>
        <v>#N/A</v>
      </c>
      <c r="E361" s="523" t="e">
        <f ca="1">VLOOKUP(B361,Calc!$K$88:$L$98,2,FALSE)</f>
        <v>#N/A</v>
      </c>
      <c r="F361" s="523" t="e">
        <f ca="1">IF(Errorhandling!$C$42,INDEX(Calc!$J$99:$J$109,MATCH(Display!B361,Calc!$K$99:$K$109,0),1),#N/A)</f>
        <v>#N/A</v>
      </c>
    </row>
    <row r="362" spans="2:6" x14ac:dyDescent="0.2">
      <c r="B362" s="6">
        <f t="shared" si="9"/>
        <v>359</v>
      </c>
      <c r="C362" s="81" t="e">
        <f ca="1">VLOOKUP(B362,Calc!$K$66:$L$76,2,FALSE)</f>
        <v>#N/A</v>
      </c>
      <c r="D362" s="81" t="e">
        <f ca="1">VLOOKUP(B362,Calc!$K$77:$L$87,2,FALSE)</f>
        <v>#N/A</v>
      </c>
      <c r="E362" s="523" t="e">
        <f ca="1">VLOOKUP(B362,Calc!$K$88:$L$98,2,FALSE)</f>
        <v>#N/A</v>
      </c>
      <c r="F362" s="523" t="e">
        <f ca="1">IF(Errorhandling!$C$42,INDEX(Calc!$J$99:$J$109,MATCH(Display!B362,Calc!$K$99:$K$109,0),1),#N/A)</f>
        <v>#N/A</v>
      </c>
    </row>
    <row r="363" spans="2:6" x14ac:dyDescent="0.2">
      <c r="B363" s="6">
        <f t="shared" si="9"/>
        <v>360</v>
      </c>
      <c r="C363" s="81" t="e">
        <f ca="1">VLOOKUP(B363,Calc!$K$66:$L$76,2,FALSE)</f>
        <v>#N/A</v>
      </c>
      <c r="D363" s="81">
        <f ca="1">VLOOKUP(B363,Calc!$K$77:$L$87,2,FALSE)</f>
        <v>154.75237058225048</v>
      </c>
      <c r="E363" s="523" t="e">
        <f ca="1">VLOOKUP(B363,Calc!$K$88:$L$98,2,FALSE)</f>
        <v>#N/A</v>
      </c>
      <c r="F363" s="523" t="e">
        <f ca="1">IF(Errorhandling!$C$42,INDEX(Calc!$J$99:$J$109,MATCH(Display!B363,Calc!$K$99:$K$109,0),1),#N/A)</f>
        <v>#N/A</v>
      </c>
    </row>
    <row r="364" spans="2:6" x14ac:dyDescent="0.2">
      <c r="B364" s="6">
        <f t="shared" si="9"/>
        <v>361</v>
      </c>
      <c r="C364" s="81" t="e">
        <f ca="1">VLOOKUP(B364,Calc!$K$66:$L$76,2,FALSE)</f>
        <v>#N/A</v>
      </c>
      <c r="D364" s="81" t="e">
        <f ca="1">VLOOKUP(B364,Calc!$K$77:$L$87,2,FALSE)</f>
        <v>#N/A</v>
      </c>
      <c r="E364" s="523" t="e">
        <f ca="1">VLOOKUP(B364,Calc!$K$88:$L$98,2,FALSE)</f>
        <v>#N/A</v>
      </c>
      <c r="F364" s="523" t="e">
        <f ca="1">IF(Errorhandling!$C$42,INDEX(Calc!$J$99:$J$109,MATCH(Display!B364,Calc!$K$99:$K$109,0),1),#N/A)</f>
        <v>#N/A</v>
      </c>
    </row>
    <row r="365" spans="2:6" x14ac:dyDescent="0.2">
      <c r="B365" s="6">
        <f t="shared" si="9"/>
        <v>362</v>
      </c>
      <c r="C365" s="81" t="e">
        <f ca="1">VLOOKUP(B365,Calc!$K$66:$L$76,2,FALSE)</f>
        <v>#N/A</v>
      </c>
      <c r="D365" s="81" t="e">
        <f ca="1">VLOOKUP(B365,Calc!$K$77:$L$87,2,FALSE)</f>
        <v>#N/A</v>
      </c>
      <c r="E365" s="523" t="e">
        <f ca="1">VLOOKUP(B365,Calc!$K$88:$L$98,2,FALSE)</f>
        <v>#N/A</v>
      </c>
      <c r="F365" s="523" t="e">
        <f ca="1">IF(Errorhandling!$C$42,INDEX(Calc!$J$99:$J$109,MATCH(Display!B365,Calc!$K$99:$K$109,0),1),#N/A)</f>
        <v>#N/A</v>
      </c>
    </row>
    <row r="366" spans="2:6" x14ac:dyDescent="0.2">
      <c r="B366" s="6">
        <f t="shared" si="9"/>
        <v>363</v>
      </c>
      <c r="C366" s="81" t="e">
        <f ca="1">VLOOKUP(B366,Calc!$K$66:$L$76,2,FALSE)</f>
        <v>#N/A</v>
      </c>
      <c r="D366" s="81" t="e">
        <f ca="1">VLOOKUP(B366,Calc!$K$77:$L$87,2,FALSE)</f>
        <v>#N/A</v>
      </c>
      <c r="E366" s="523" t="e">
        <f ca="1">VLOOKUP(B366,Calc!$K$88:$L$98,2,FALSE)</f>
        <v>#N/A</v>
      </c>
      <c r="F366" s="523" t="e">
        <f ca="1">IF(Errorhandling!$C$42,INDEX(Calc!$J$99:$J$109,MATCH(Display!B366,Calc!$K$99:$K$109,0),1),#N/A)</f>
        <v>#N/A</v>
      </c>
    </row>
    <row r="367" spans="2:6" x14ac:dyDescent="0.2">
      <c r="B367" s="6">
        <f t="shared" si="9"/>
        <v>364</v>
      </c>
      <c r="C367" s="81" t="e">
        <f ca="1">VLOOKUP(B367,Calc!$K$66:$L$76,2,FALSE)</f>
        <v>#N/A</v>
      </c>
      <c r="D367" s="81" t="e">
        <f ca="1">VLOOKUP(B367,Calc!$K$77:$L$87,2,FALSE)</f>
        <v>#N/A</v>
      </c>
      <c r="E367" s="523" t="e">
        <f ca="1">VLOOKUP(B367,Calc!$K$88:$L$98,2,FALSE)</f>
        <v>#N/A</v>
      </c>
      <c r="F367" s="523" t="e">
        <f ca="1">IF(Errorhandling!$C$42,INDEX(Calc!$J$99:$J$109,MATCH(Display!B367,Calc!$K$99:$K$109,0),1),#N/A)</f>
        <v>#N/A</v>
      </c>
    </row>
    <row r="368" spans="2:6" x14ac:dyDescent="0.2">
      <c r="B368" s="6">
        <f t="shared" si="9"/>
        <v>365</v>
      </c>
      <c r="C368" s="81" t="e">
        <f ca="1">VLOOKUP(B368,Calc!$K$66:$L$76,2,FALSE)</f>
        <v>#N/A</v>
      </c>
      <c r="D368" s="81" t="e">
        <f ca="1">VLOOKUP(B368,Calc!$K$77:$L$87,2,FALSE)</f>
        <v>#N/A</v>
      </c>
      <c r="E368" s="523" t="e">
        <f ca="1">VLOOKUP(B368,Calc!$K$88:$L$98,2,FALSE)</f>
        <v>#N/A</v>
      </c>
      <c r="F368" s="523" t="e">
        <f ca="1">IF(Errorhandling!$C$42,INDEX(Calc!$J$99:$J$109,MATCH(Display!B368,Calc!$K$99:$K$109,0),1),#N/A)</f>
        <v>#N/A</v>
      </c>
    </row>
    <row r="369" spans="2:6" x14ac:dyDescent="0.2">
      <c r="B369" s="6">
        <f t="shared" si="9"/>
        <v>366</v>
      </c>
      <c r="C369" s="81" t="e">
        <f ca="1">VLOOKUP(B369,Calc!$K$66:$L$76,2,FALSE)</f>
        <v>#N/A</v>
      </c>
      <c r="D369" s="81" t="e">
        <f ca="1">VLOOKUP(B369,Calc!$K$77:$L$87,2,FALSE)</f>
        <v>#N/A</v>
      </c>
      <c r="E369" s="523" t="e">
        <f ca="1">VLOOKUP(B369,Calc!$K$88:$L$98,2,FALSE)</f>
        <v>#N/A</v>
      </c>
      <c r="F369" s="523" t="e">
        <f ca="1">IF(Errorhandling!$C$42,INDEX(Calc!$J$99:$J$109,MATCH(Display!B369,Calc!$K$99:$K$109,0),1),#N/A)</f>
        <v>#N/A</v>
      </c>
    </row>
    <row r="370" spans="2:6" x14ac:dyDescent="0.2">
      <c r="B370" s="6">
        <f t="shared" si="9"/>
        <v>367</v>
      </c>
      <c r="C370" s="81" t="e">
        <f ca="1">VLOOKUP(B370,Calc!$K$66:$L$76,2,FALSE)</f>
        <v>#N/A</v>
      </c>
      <c r="D370" s="81" t="e">
        <f ca="1">VLOOKUP(B370,Calc!$K$77:$L$87,2,FALSE)</f>
        <v>#N/A</v>
      </c>
      <c r="E370" s="523" t="e">
        <f ca="1">VLOOKUP(B370,Calc!$K$88:$L$98,2,FALSE)</f>
        <v>#N/A</v>
      </c>
      <c r="F370" s="523" t="e">
        <f ca="1">IF(Errorhandling!$C$42,INDEX(Calc!$J$99:$J$109,MATCH(Display!B370,Calc!$K$99:$K$109,0),1),#N/A)</f>
        <v>#N/A</v>
      </c>
    </row>
    <row r="371" spans="2:6" x14ac:dyDescent="0.2">
      <c r="B371" s="6">
        <f t="shared" si="9"/>
        <v>368</v>
      </c>
      <c r="C371" s="81" t="e">
        <f ca="1">VLOOKUP(B371,Calc!$K$66:$L$76,2,FALSE)</f>
        <v>#N/A</v>
      </c>
      <c r="D371" s="81" t="e">
        <f ca="1">VLOOKUP(B371,Calc!$K$77:$L$87,2,FALSE)</f>
        <v>#N/A</v>
      </c>
      <c r="E371" s="523" t="e">
        <f ca="1">VLOOKUP(B371,Calc!$K$88:$L$98,2,FALSE)</f>
        <v>#N/A</v>
      </c>
      <c r="F371" s="523" t="e">
        <f ca="1">IF(Errorhandling!$C$42,INDEX(Calc!$J$99:$J$109,MATCH(Display!B371,Calc!$K$99:$K$109,0),1),#N/A)</f>
        <v>#N/A</v>
      </c>
    </row>
    <row r="372" spans="2:6" x14ac:dyDescent="0.2">
      <c r="B372" s="6">
        <f t="shared" si="9"/>
        <v>369</v>
      </c>
      <c r="C372" s="81" t="e">
        <f ca="1">VLOOKUP(B372,Calc!$K$66:$L$76,2,FALSE)</f>
        <v>#N/A</v>
      </c>
      <c r="D372" s="81" t="e">
        <f ca="1">VLOOKUP(B372,Calc!$K$77:$L$87,2,FALSE)</f>
        <v>#N/A</v>
      </c>
      <c r="E372" s="523" t="e">
        <f ca="1">VLOOKUP(B372,Calc!$K$88:$L$98,2,FALSE)</f>
        <v>#N/A</v>
      </c>
      <c r="F372" s="523" t="e">
        <f ca="1">IF(Errorhandling!$C$42,INDEX(Calc!$J$99:$J$109,MATCH(Display!B372,Calc!$K$99:$K$109,0),1),#N/A)</f>
        <v>#N/A</v>
      </c>
    </row>
    <row r="373" spans="2:6" x14ac:dyDescent="0.2">
      <c r="B373" s="6">
        <f t="shared" si="9"/>
        <v>370</v>
      </c>
      <c r="C373" s="81" t="e">
        <f ca="1">VLOOKUP(B373,Calc!$K$66:$L$76,2,FALSE)</f>
        <v>#N/A</v>
      </c>
      <c r="D373" s="81" t="e">
        <f ca="1">VLOOKUP(B373,Calc!$K$77:$L$87,2,FALSE)</f>
        <v>#N/A</v>
      </c>
      <c r="E373" s="523" t="e">
        <f ca="1">VLOOKUP(B373,Calc!$K$88:$L$98,2,FALSE)</f>
        <v>#N/A</v>
      </c>
      <c r="F373" s="523" t="e">
        <f ca="1">IF(Errorhandling!$C$42,INDEX(Calc!$J$99:$J$109,MATCH(Display!B373,Calc!$K$99:$K$109,0),1),#N/A)</f>
        <v>#N/A</v>
      </c>
    </row>
    <row r="374" spans="2:6" x14ac:dyDescent="0.2">
      <c r="B374" s="6">
        <f t="shared" si="9"/>
        <v>371</v>
      </c>
      <c r="C374" s="81" t="e">
        <f ca="1">VLOOKUP(B374,Calc!$K$66:$L$76,2,FALSE)</f>
        <v>#N/A</v>
      </c>
      <c r="D374" s="81" t="e">
        <f ca="1">VLOOKUP(B374,Calc!$K$77:$L$87,2,FALSE)</f>
        <v>#N/A</v>
      </c>
      <c r="E374" s="523" t="e">
        <f ca="1">VLOOKUP(B374,Calc!$K$88:$L$98,2,FALSE)</f>
        <v>#N/A</v>
      </c>
      <c r="F374" s="523" t="e">
        <f ca="1">IF(Errorhandling!$C$42,INDEX(Calc!$J$99:$J$109,MATCH(Display!B374,Calc!$K$99:$K$109,0),1),#N/A)</f>
        <v>#N/A</v>
      </c>
    </row>
    <row r="375" spans="2:6" x14ac:dyDescent="0.2">
      <c r="B375" s="6">
        <f t="shared" si="9"/>
        <v>372</v>
      </c>
      <c r="C375" s="81" t="e">
        <f ca="1">VLOOKUP(B375,Calc!$K$66:$L$76,2,FALSE)</f>
        <v>#N/A</v>
      </c>
      <c r="D375" s="81" t="e">
        <f ca="1">VLOOKUP(B375,Calc!$K$77:$L$87,2,FALSE)</f>
        <v>#N/A</v>
      </c>
      <c r="E375" s="523" t="e">
        <f ca="1">VLOOKUP(B375,Calc!$K$88:$L$98,2,FALSE)</f>
        <v>#N/A</v>
      </c>
      <c r="F375" s="523" t="e">
        <f ca="1">IF(Errorhandling!$C$42,INDEX(Calc!$J$99:$J$109,MATCH(Display!B375,Calc!$K$99:$K$109,0),1),#N/A)</f>
        <v>#N/A</v>
      </c>
    </row>
    <row r="376" spans="2:6" x14ac:dyDescent="0.2">
      <c r="B376" s="6">
        <f t="shared" si="9"/>
        <v>373</v>
      </c>
      <c r="C376" s="81" t="e">
        <f ca="1">VLOOKUP(B376,Calc!$K$66:$L$76,2,FALSE)</f>
        <v>#N/A</v>
      </c>
      <c r="D376" s="81" t="e">
        <f ca="1">VLOOKUP(B376,Calc!$K$77:$L$87,2,FALSE)</f>
        <v>#N/A</v>
      </c>
      <c r="E376" s="523" t="e">
        <f ca="1">VLOOKUP(B376,Calc!$K$88:$L$98,2,FALSE)</f>
        <v>#N/A</v>
      </c>
      <c r="F376" s="523" t="e">
        <f ca="1">IF(Errorhandling!$C$42,INDEX(Calc!$J$99:$J$109,MATCH(Display!B376,Calc!$K$99:$K$109,0),1),#N/A)</f>
        <v>#N/A</v>
      </c>
    </row>
    <row r="377" spans="2:6" x14ac:dyDescent="0.2">
      <c r="B377" s="6">
        <f t="shared" si="9"/>
        <v>374</v>
      </c>
      <c r="C377" s="81" t="e">
        <f ca="1">VLOOKUP(B377,Calc!$K$66:$L$76,2,FALSE)</f>
        <v>#N/A</v>
      </c>
      <c r="D377" s="81" t="e">
        <f ca="1">VLOOKUP(B377,Calc!$K$77:$L$87,2,FALSE)</f>
        <v>#N/A</v>
      </c>
      <c r="E377" s="523" t="e">
        <f ca="1">VLOOKUP(B377,Calc!$K$88:$L$98,2,FALSE)</f>
        <v>#N/A</v>
      </c>
      <c r="F377" s="523" t="e">
        <f ca="1">IF(Errorhandling!$C$42,INDEX(Calc!$J$99:$J$109,MATCH(Display!B377,Calc!$K$99:$K$109,0),1),#N/A)</f>
        <v>#N/A</v>
      </c>
    </row>
    <row r="378" spans="2:6" x14ac:dyDescent="0.2">
      <c r="B378" s="6">
        <f t="shared" si="9"/>
        <v>375</v>
      </c>
      <c r="C378" s="81" t="e">
        <f ca="1">VLOOKUP(B378,Calc!$K$66:$L$76,2,FALSE)</f>
        <v>#N/A</v>
      </c>
      <c r="D378" s="81" t="e">
        <f ca="1">VLOOKUP(B378,Calc!$K$77:$L$87,2,FALSE)</f>
        <v>#N/A</v>
      </c>
      <c r="E378" s="523" t="e">
        <f ca="1">VLOOKUP(B378,Calc!$K$88:$L$98,2,FALSE)</f>
        <v>#N/A</v>
      </c>
      <c r="F378" s="523" t="e">
        <f ca="1">IF(Errorhandling!$C$42,INDEX(Calc!$J$99:$J$109,MATCH(Display!B378,Calc!$K$99:$K$109,0),1),#N/A)</f>
        <v>#N/A</v>
      </c>
    </row>
    <row r="379" spans="2:6" x14ac:dyDescent="0.2">
      <c r="B379" s="6">
        <f t="shared" si="9"/>
        <v>376</v>
      </c>
      <c r="C379" s="81" t="e">
        <f ca="1">VLOOKUP(B379,Calc!$K$66:$L$76,2,FALSE)</f>
        <v>#N/A</v>
      </c>
      <c r="D379" s="81" t="e">
        <f ca="1">VLOOKUP(B379,Calc!$K$77:$L$87,2,FALSE)</f>
        <v>#N/A</v>
      </c>
      <c r="E379" s="523" t="e">
        <f ca="1">VLOOKUP(B379,Calc!$K$88:$L$98,2,FALSE)</f>
        <v>#N/A</v>
      </c>
      <c r="F379" s="523" t="e">
        <f ca="1">IF(Errorhandling!$C$42,INDEX(Calc!$J$99:$J$109,MATCH(Display!B379,Calc!$K$99:$K$109,0),1),#N/A)</f>
        <v>#N/A</v>
      </c>
    </row>
    <row r="380" spans="2:6" x14ac:dyDescent="0.2">
      <c r="B380" s="6">
        <f t="shared" si="9"/>
        <v>377</v>
      </c>
      <c r="C380" s="81" t="e">
        <f ca="1">VLOOKUP(B380,Calc!$K$66:$L$76,2,FALSE)</f>
        <v>#N/A</v>
      </c>
      <c r="D380" s="81" t="e">
        <f ca="1">VLOOKUP(B380,Calc!$K$77:$L$87,2,FALSE)</f>
        <v>#N/A</v>
      </c>
      <c r="E380" s="523" t="e">
        <f ca="1">VLOOKUP(B380,Calc!$K$88:$L$98,2,FALSE)</f>
        <v>#N/A</v>
      </c>
      <c r="F380" s="523" t="e">
        <f ca="1">IF(Errorhandling!$C$42,INDEX(Calc!$J$99:$J$109,MATCH(Display!B380,Calc!$K$99:$K$109,0),1),#N/A)</f>
        <v>#N/A</v>
      </c>
    </row>
    <row r="381" spans="2:6" x14ac:dyDescent="0.2">
      <c r="B381" s="6">
        <f t="shared" si="9"/>
        <v>378</v>
      </c>
      <c r="C381" s="81" t="e">
        <f ca="1">VLOOKUP(B381,Calc!$K$66:$L$76,2,FALSE)</f>
        <v>#N/A</v>
      </c>
      <c r="D381" s="81" t="e">
        <f ca="1">VLOOKUP(B381,Calc!$K$77:$L$87,2,FALSE)</f>
        <v>#N/A</v>
      </c>
      <c r="E381" s="523" t="e">
        <f ca="1">VLOOKUP(B381,Calc!$K$88:$L$98,2,FALSE)</f>
        <v>#N/A</v>
      </c>
      <c r="F381" s="523" t="e">
        <f ca="1">IF(Errorhandling!$C$42,INDEX(Calc!$J$99:$J$109,MATCH(Display!B381,Calc!$K$99:$K$109,0),1),#N/A)</f>
        <v>#N/A</v>
      </c>
    </row>
    <row r="382" spans="2:6" x14ac:dyDescent="0.2">
      <c r="B382" s="6">
        <f t="shared" si="9"/>
        <v>379</v>
      </c>
      <c r="C382" s="81" t="e">
        <f ca="1">VLOOKUP(B382,Calc!$K$66:$L$76,2,FALSE)</f>
        <v>#N/A</v>
      </c>
      <c r="D382" s="81" t="e">
        <f ca="1">VLOOKUP(B382,Calc!$K$77:$L$87,2,FALSE)</f>
        <v>#N/A</v>
      </c>
      <c r="E382" s="523" t="e">
        <f ca="1">VLOOKUP(B382,Calc!$K$88:$L$98,2,FALSE)</f>
        <v>#N/A</v>
      </c>
      <c r="F382" s="523" t="e">
        <f ca="1">IF(Errorhandling!$C$42,INDEX(Calc!$J$99:$J$109,MATCH(Display!B382,Calc!$K$99:$K$109,0),1),#N/A)</f>
        <v>#N/A</v>
      </c>
    </row>
    <row r="383" spans="2:6" x14ac:dyDescent="0.2">
      <c r="B383" s="6">
        <f t="shared" si="9"/>
        <v>380</v>
      </c>
      <c r="C383" s="81" t="e">
        <f ca="1">VLOOKUP(B383,Calc!$K$66:$L$76,2,FALSE)</f>
        <v>#N/A</v>
      </c>
      <c r="D383" s="81" t="e">
        <f ca="1">VLOOKUP(B383,Calc!$K$77:$L$87,2,FALSE)</f>
        <v>#N/A</v>
      </c>
      <c r="E383" s="523" t="e">
        <f ca="1">VLOOKUP(B383,Calc!$K$88:$L$98,2,FALSE)</f>
        <v>#N/A</v>
      </c>
      <c r="F383" s="523" t="e">
        <f ca="1">IF(Errorhandling!$C$42,INDEX(Calc!$J$99:$J$109,MATCH(Display!B383,Calc!$K$99:$K$109,0),1),#N/A)</f>
        <v>#N/A</v>
      </c>
    </row>
    <row r="384" spans="2:6" x14ac:dyDescent="0.2">
      <c r="B384" s="6">
        <f t="shared" si="9"/>
        <v>381</v>
      </c>
      <c r="C384" s="81" t="e">
        <f ca="1">VLOOKUP(B384,Calc!$K$66:$L$76,2,FALSE)</f>
        <v>#N/A</v>
      </c>
      <c r="D384" s="81" t="e">
        <f ca="1">VLOOKUP(B384,Calc!$K$77:$L$87,2,FALSE)</f>
        <v>#N/A</v>
      </c>
      <c r="E384" s="523" t="e">
        <f ca="1">VLOOKUP(B384,Calc!$K$88:$L$98,2,FALSE)</f>
        <v>#N/A</v>
      </c>
      <c r="F384" s="523" t="e">
        <f ca="1">IF(Errorhandling!$C$42,INDEX(Calc!$J$99:$J$109,MATCH(Display!B384,Calc!$K$99:$K$109,0),1),#N/A)</f>
        <v>#N/A</v>
      </c>
    </row>
    <row r="385" spans="2:6" x14ac:dyDescent="0.2">
      <c r="B385" s="6">
        <f t="shared" si="9"/>
        <v>382</v>
      </c>
      <c r="C385" s="81" t="e">
        <f ca="1">VLOOKUP(B385,Calc!$K$66:$L$76,2,FALSE)</f>
        <v>#N/A</v>
      </c>
      <c r="D385" s="81" t="e">
        <f ca="1">VLOOKUP(B385,Calc!$K$77:$L$87,2,FALSE)</f>
        <v>#N/A</v>
      </c>
      <c r="E385" s="523" t="e">
        <f ca="1">VLOOKUP(B385,Calc!$K$88:$L$98,2,FALSE)</f>
        <v>#N/A</v>
      </c>
      <c r="F385" s="523" t="e">
        <f ca="1">IF(Errorhandling!$C$42,INDEX(Calc!$J$99:$J$109,MATCH(Display!B385,Calc!$K$99:$K$109,0),1),#N/A)</f>
        <v>#N/A</v>
      </c>
    </row>
    <row r="386" spans="2:6" x14ac:dyDescent="0.2">
      <c r="B386" s="6">
        <f t="shared" si="9"/>
        <v>383</v>
      </c>
      <c r="C386" s="81" t="e">
        <f ca="1">VLOOKUP(B386,Calc!$K$66:$L$76,2,FALSE)</f>
        <v>#N/A</v>
      </c>
      <c r="D386" s="81" t="e">
        <f ca="1">VLOOKUP(B386,Calc!$K$77:$L$87,2,FALSE)</f>
        <v>#N/A</v>
      </c>
      <c r="E386" s="523" t="e">
        <f ca="1">VLOOKUP(B386,Calc!$K$88:$L$98,2,FALSE)</f>
        <v>#N/A</v>
      </c>
      <c r="F386" s="523" t="e">
        <f ca="1">IF(Errorhandling!$C$42,INDEX(Calc!$J$99:$J$109,MATCH(Display!B386,Calc!$K$99:$K$109,0),1),#N/A)</f>
        <v>#N/A</v>
      </c>
    </row>
    <row r="387" spans="2:6" x14ac:dyDescent="0.2">
      <c r="B387" s="6">
        <f t="shared" si="9"/>
        <v>384</v>
      </c>
      <c r="C387" s="81" t="e">
        <f ca="1">VLOOKUP(B387,Calc!$K$66:$L$76,2,FALSE)</f>
        <v>#N/A</v>
      </c>
      <c r="D387" s="81" t="e">
        <f ca="1">VLOOKUP(B387,Calc!$K$77:$L$87,2,FALSE)</f>
        <v>#N/A</v>
      </c>
      <c r="E387" s="523" t="e">
        <f ca="1">VLOOKUP(B387,Calc!$K$88:$L$98,2,FALSE)</f>
        <v>#N/A</v>
      </c>
      <c r="F387" s="523" t="e">
        <f ca="1">IF(Errorhandling!$C$42,INDEX(Calc!$J$99:$J$109,MATCH(Display!B387,Calc!$K$99:$K$109,0),1),#N/A)</f>
        <v>#N/A</v>
      </c>
    </row>
    <row r="388" spans="2:6" x14ac:dyDescent="0.2">
      <c r="B388" s="6">
        <f t="shared" si="9"/>
        <v>385</v>
      </c>
      <c r="C388" s="81" t="e">
        <f ca="1">VLOOKUP(B388,Calc!$K$66:$L$76,2,FALSE)</f>
        <v>#N/A</v>
      </c>
      <c r="D388" s="81" t="e">
        <f ca="1">VLOOKUP(B388,Calc!$K$77:$L$87,2,FALSE)</f>
        <v>#N/A</v>
      </c>
      <c r="E388" s="523" t="e">
        <f ca="1">VLOOKUP(B388,Calc!$K$88:$L$98,2,FALSE)</f>
        <v>#N/A</v>
      </c>
      <c r="F388" s="523" t="e">
        <f ca="1">IF(Errorhandling!$C$42,INDEX(Calc!$J$99:$J$109,MATCH(Display!B388,Calc!$K$99:$K$109,0),1),#N/A)</f>
        <v>#N/A</v>
      </c>
    </row>
    <row r="389" spans="2:6" x14ac:dyDescent="0.2">
      <c r="B389" s="6">
        <f t="shared" si="9"/>
        <v>386</v>
      </c>
      <c r="C389" s="81" t="e">
        <f ca="1">VLOOKUP(B389,Calc!$K$66:$L$76,2,FALSE)</f>
        <v>#N/A</v>
      </c>
      <c r="D389" s="81" t="e">
        <f ca="1">VLOOKUP(B389,Calc!$K$77:$L$87,2,FALSE)</f>
        <v>#N/A</v>
      </c>
      <c r="E389" s="523" t="e">
        <f ca="1">VLOOKUP(B389,Calc!$K$88:$L$98,2,FALSE)</f>
        <v>#N/A</v>
      </c>
      <c r="F389" s="523" t="e">
        <f ca="1">IF(Errorhandling!$C$42,INDEX(Calc!$J$99:$J$109,MATCH(Display!B389,Calc!$K$99:$K$109,0),1),#N/A)</f>
        <v>#N/A</v>
      </c>
    </row>
    <row r="390" spans="2:6" x14ac:dyDescent="0.2">
      <c r="B390" s="6">
        <f t="shared" ref="B390:B454" si="10">1+B389</f>
        <v>387</v>
      </c>
      <c r="C390" s="81" t="e">
        <f ca="1">VLOOKUP(B390,Calc!$K$66:$L$76,2,FALSE)</f>
        <v>#N/A</v>
      </c>
      <c r="D390" s="81" t="e">
        <f ca="1">VLOOKUP(B390,Calc!$K$77:$L$87,2,FALSE)</f>
        <v>#N/A</v>
      </c>
      <c r="E390" s="523" t="e">
        <f ca="1">VLOOKUP(B390,Calc!$K$88:$L$98,2,FALSE)</f>
        <v>#N/A</v>
      </c>
      <c r="F390" s="523" t="e">
        <f ca="1">IF(Errorhandling!$C$42,INDEX(Calc!$J$99:$J$109,MATCH(Display!B390,Calc!$K$99:$K$109,0),1),#N/A)</f>
        <v>#N/A</v>
      </c>
    </row>
    <row r="391" spans="2:6" x14ac:dyDescent="0.2">
      <c r="B391" s="6">
        <f t="shared" si="10"/>
        <v>388</v>
      </c>
      <c r="C391" s="81" t="e">
        <f ca="1">VLOOKUP(B391,Calc!$K$66:$L$76,2,FALSE)</f>
        <v>#N/A</v>
      </c>
      <c r="D391" s="81" t="e">
        <f ca="1">VLOOKUP(B391,Calc!$K$77:$L$87,2,FALSE)</f>
        <v>#N/A</v>
      </c>
      <c r="E391" s="523" t="e">
        <f ca="1">VLOOKUP(B391,Calc!$K$88:$L$98,2,FALSE)</f>
        <v>#N/A</v>
      </c>
      <c r="F391" s="523" t="e">
        <f ca="1">IF(Errorhandling!$C$42,INDEX(Calc!$J$99:$J$109,MATCH(Display!B391,Calc!$K$99:$K$109,0),1),#N/A)</f>
        <v>#N/A</v>
      </c>
    </row>
    <row r="392" spans="2:6" x14ac:dyDescent="0.2">
      <c r="B392" s="6">
        <f t="shared" si="10"/>
        <v>389</v>
      </c>
      <c r="C392" s="81" t="e">
        <f ca="1">VLOOKUP(B392,Calc!$K$66:$L$76,2,FALSE)</f>
        <v>#N/A</v>
      </c>
      <c r="D392" s="81" t="e">
        <f ca="1">VLOOKUP(B392,Calc!$K$77:$L$87,2,FALSE)</f>
        <v>#N/A</v>
      </c>
      <c r="E392" s="523" t="e">
        <f ca="1">VLOOKUP(B392,Calc!$K$88:$L$98,2,FALSE)</f>
        <v>#N/A</v>
      </c>
      <c r="F392" s="523" t="e">
        <f ca="1">IF(Errorhandling!$C$42,INDEX(Calc!$J$99:$J$109,MATCH(Display!B392,Calc!$K$99:$K$109,0),1),#N/A)</f>
        <v>#N/A</v>
      </c>
    </row>
    <row r="393" spans="2:6" x14ac:dyDescent="0.2">
      <c r="B393" s="6">
        <f t="shared" si="10"/>
        <v>390</v>
      </c>
      <c r="C393" s="81" t="e">
        <f ca="1">VLOOKUP(B393,Calc!$K$66:$L$76,2,FALSE)</f>
        <v>#N/A</v>
      </c>
      <c r="D393" s="81" t="e">
        <f ca="1">VLOOKUP(B393,Calc!$K$77:$L$87,2,FALSE)</f>
        <v>#N/A</v>
      </c>
      <c r="E393" s="523">
        <f ca="1">VLOOKUP(B393,Calc!$K$88:$L$98,2,FALSE)</f>
        <v>346.44740326604517</v>
      </c>
      <c r="F393" s="523">
        <f ca="1">IF(Errorhandling!$C$42,INDEX(Calc!$J$99:$J$109,MATCH(Display!B393,Calc!$K$99:$K$109,0),1),#N/A)</f>
        <v>3.4644740326604493E-5</v>
      </c>
    </row>
    <row r="394" spans="2:6" x14ac:dyDescent="0.2">
      <c r="B394" s="6">
        <f t="shared" si="10"/>
        <v>391</v>
      </c>
      <c r="C394" s="81" t="e">
        <f ca="1">VLOOKUP(B394,Calc!$K$66:$L$76,2,FALSE)</f>
        <v>#N/A</v>
      </c>
      <c r="D394" s="81" t="e">
        <f ca="1">VLOOKUP(B394,Calc!$K$77:$L$87,2,FALSE)</f>
        <v>#N/A</v>
      </c>
      <c r="E394" s="523" t="e">
        <f ca="1">VLOOKUP(B394,Calc!$K$88:$L$98,2,FALSE)</f>
        <v>#N/A</v>
      </c>
      <c r="F394" s="523" t="e">
        <f ca="1">IF(Errorhandling!$C$42,INDEX(Calc!$J$99:$J$109,MATCH(Display!B394,Calc!$K$99:$K$109,0),1),#N/A)</f>
        <v>#N/A</v>
      </c>
    </row>
    <row r="395" spans="2:6" x14ac:dyDescent="0.2">
      <c r="B395" s="6">
        <f t="shared" si="10"/>
        <v>392</v>
      </c>
      <c r="C395" s="81" t="e">
        <f ca="1">VLOOKUP(B395,Calc!$K$66:$L$76,2,FALSE)</f>
        <v>#N/A</v>
      </c>
      <c r="D395" s="81" t="e">
        <f ca="1">VLOOKUP(B395,Calc!$K$77:$L$87,2,FALSE)</f>
        <v>#N/A</v>
      </c>
      <c r="E395" s="523" t="e">
        <f ca="1">VLOOKUP(B395,Calc!$K$88:$L$98,2,FALSE)</f>
        <v>#N/A</v>
      </c>
      <c r="F395" s="523" t="e">
        <f ca="1">IF(Errorhandling!$C$42,INDEX(Calc!$J$99:$J$109,MATCH(Display!B395,Calc!$K$99:$K$109,0),1),#N/A)</f>
        <v>#N/A</v>
      </c>
    </row>
    <row r="396" spans="2:6" x14ac:dyDescent="0.2">
      <c r="B396" s="6">
        <f t="shared" si="10"/>
        <v>393</v>
      </c>
      <c r="C396" s="81" t="e">
        <f ca="1">VLOOKUP(B396,Calc!$K$66:$L$76,2,FALSE)</f>
        <v>#N/A</v>
      </c>
      <c r="D396" s="81" t="e">
        <f ca="1">VLOOKUP(B396,Calc!$K$77:$L$87,2,FALSE)</f>
        <v>#N/A</v>
      </c>
      <c r="E396" s="523" t="e">
        <f ca="1">VLOOKUP(B396,Calc!$K$88:$L$98,2,FALSE)</f>
        <v>#N/A</v>
      </c>
      <c r="F396" s="523" t="e">
        <f ca="1">IF(Errorhandling!$C$42,INDEX(Calc!$J$99:$J$109,MATCH(Display!B396,Calc!$K$99:$K$109,0),1),#N/A)</f>
        <v>#N/A</v>
      </c>
    </row>
    <row r="397" spans="2:6" x14ac:dyDescent="0.2">
      <c r="B397" s="6">
        <f t="shared" si="10"/>
        <v>394</v>
      </c>
      <c r="C397" s="81" t="e">
        <f ca="1">VLOOKUP(B397,Calc!$K$66:$L$76,2,FALSE)</f>
        <v>#N/A</v>
      </c>
      <c r="D397" s="81" t="e">
        <f ca="1">VLOOKUP(B397,Calc!$K$77:$L$87,2,FALSE)</f>
        <v>#N/A</v>
      </c>
      <c r="E397" s="523" t="e">
        <f ca="1">VLOOKUP(B397,Calc!$K$88:$L$98,2,FALSE)</f>
        <v>#N/A</v>
      </c>
      <c r="F397" s="523" t="e">
        <f ca="1">IF(Errorhandling!$C$42,INDEX(Calc!$J$99:$J$109,MATCH(Display!B397,Calc!$K$99:$K$109,0),1),#N/A)</f>
        <v>#N/A</v>
      </c>
    </row>
    <row r="398" spans="2:6" x14ac:dyDescent="0.2">
      <c r="B398" s="6">
        <f t="shared" si="10"/>
        <v>395</v>
      </c>
      <c r="C398" s="81" t="e">
        <f ca="1">VLOOKUP(B398,Calc!$K$66:$L$76,2,FALSE)</f>
        <v>#N/A</v>
      </c>
      <c r="D398" s="81" t="e">
        <f ca="1">VLOOKUP(B398,Calc!$K$77:$L$87,2,FALSE)</f>
        <v>#N/A</v>
      </c>
      <c r="E398" s="523" t="e">
        <f ca="1">VLOOKUP(B398,Calc!$K$88:$L$98,2,FALSE)</f>
        <v>#N/A</v>
      </c>
      <c r="F398" s="523" t="e">
        <f ca="1">IF(Errorhandling!$C$42,INDEX(Calc!$J$99:$J$109,MATCH(Display!B398,Calc!$K$99:$K$109,0),1),#N/A)</f>
        <v>#N/A</v>
      </c>
    </row>
    <row r="399" spans="2:6" x14ac:dyDescent="0.2">
      <c r="B399" s="6">
        <f t="shared" si="10"/>
        <v>396</v>
      </c>
      <c r="C399" s="81" t="e">
        <f ca="1">VLOOKUP(B399,Calc!$K$66:$L$76,2,FALSE)</f>
        <v>#N/A</v>
      </c>
      <c r="D399" s="81" t="e">
        <f ca="1">VLOOKUP(B399,Calc!$K$77:$L$87,2,FALSE)</f>
        <v>#N/A</v>
      </c>
      <c r="E399" s="523" t="e">
        <f ca="1">VLOOKUP(B399,Calc!$K$88:$L$98,2,FALSE)</f>
        <v>#N/A</v>
      </c>
      <c r="F399" s="523" t="e">
        <f ca="1">IF(Errorhandling!$C$42,INDEX(Calc!$J$99:$J$109,MATCH(Display!B399,Calc!$K$99:$K$109,0),1),#N/A)</f>
        <v>#N/A</v>
      </c>
    </row>
    <row r="400" spans="2:6" x14ac:dyDescent="0.2">
      <c r="B400" s="6">
        <f t="shared" si="10"/>
        <v>397</v>
      </c>
      <c r="C400" s="81" t="e">
        <f ca="1">VLOOKUP(B400,Calc!$K$66:$L$76,2,FALSE)</f>
        <v>#N/A</v>
      </c>
      <c r="D400" s="81" t="e">
        <f ca="1">VLOOKUP(B400,Calc!$K$77:$L$87,2,FALSE)</f>
        <v>#N/A</v>
      </c>
      <c r="E400" s="523" t="e">
        <f ca="1">VLOOKUP(B400,Calc!$K$88:$L$98,2,FALSE)</f>
        <v>#N/A</v>
      </c>
      <c r="F400" s="523" t="e">
        <f ca="1">IF(Errorhandling!$C$42,INDEX(Calc!$J$99:$J$109,MATCH(Display!B400,Calc!$K$99:$K$109,0),1),#N/A)</f>
        <v>#N/A</v>
      </c>
    </row>
    <row r="401" spans="2:6" x14ac:dyDescent="0.2">
      <c r="B401" s="6">
        <f t="shared" si="10"/>
        <v>398</v>
      </c>
      <c r="C401" s="81" t="e">
        <f ca="1">VLOOKUP(B401,Calc!$K$66:$L$76,2,FALSE)</f>
        <v>#N/A</v>
      </c>
      <c r="D401" s="81" t="e">
        <f ca="1">VLOOKUP(B401,Calc!$K$77:$L$87,2,FALSE)</f>
        <v>#N/A</v>
      </c>
      <c r="E401" s="523" t="e">
        <f ca="1">VLOOKUP(B401,Calc!$K$88:$L$98,2,FALSE)</f>
        <v>#N/A</v>
      </c>
      <c r="F401" s="523" t="e">
        <f ca="1">IF(Errorhandling!$C$42,INDEX(Calc!$J$99:$J$109,MATCH(Display!B401,Calc!$K$99:$K$109,0),1),#N/A)</f>
        <v>#N/A</v>
      </c>
    </row>
    <row r="402" spans="2:6" x14ac:dyDescent="0.2">
      <c r="B402" s="6">
        <f t="shared" si="10"/>
        <v>399</v>
      </c>
      <c r="C402" s="81" t="e">
        <f ca="1">VLOOKUP(B402,Calc!$K$66:$L$76,2,FALSE)</f>
        <v>#N/A</v>
      </c>
      <c r="D402" s="81" t="e">
        <f ca="1">VLOOKUP(B402,Calc!$K$77:$L$87,2,FALSE)</f>
        <v>#N/A</v>
      </c>
      <c r="E402" s="523" t="e">
        <f ca="1">VLOOKUP(B402,Calc!$K$88:$L$98,2,FALSE)</f>
        <v>#N/A</v>
      </c>
      <c r="F402" s="523" t="e">
        <f ca="1">IF(Errorhandling!$C$42,INDEX(Calc!$J$99:$J$109,MATCH(Display!B402,Calc!$K$99:$K$109,0),1),#N/A)</f>
        <v>#N/A</v>
      </c>
    </row>
    <row r="403" spans="2:6" x14ac:dyDescent="0.2">
      <c r="B403" s="6">
        <f t="shared" si="10"/>
        <v>400</v>
      </c>
      <c r="C403" s="81" t="e">
        <f ca="1">VLOOKUP(B403,Calc!$K$66:$L$76,2,FALSE)</f>
        <v>#N/A</v>
      </c>
      <c r="D403" s="81" t="e">
        <f ca="1">VLOOKUP(B403,Calc!$K$77:$L$87,2,FALSE)</f>
        <v>#N/A</v>
      </c>
      <c r="E403" s="523" t="e">
        <f ca="1">VLOOKUP(B403,Calc!$K$88:$L$98,2,FALSE)</f>
        <v>#N/A</v>
      </c>
      <c r="F403" s="523" t="e">
        <f ca="1">IF(Errorhandling!$C$42,INDEX(Calc!$J$99:$J$109,MATCH(Display!B403,Calc!$K$99:$K$109,0),1),#N/A)</f>
        <v>#N/A</v>
      </c>
    </row>
    <row r="404" spans="2:6" x14ac:dyDescent="0.2">
      <c r="B404" s="6">
        <f t="shared" si="10"/>
        <v>401</v>
      </c>
      <c r="C404" s="81" t="e">
        <f ca="1">VLOOKUP(B404,Calc!$K$66:$L$76,2,FALSE)</f>
        <v>#N/A</v>
      </c>
      <c r="D404" s="81" t="e">
        <f ca="1">VLOOKUP(B404,Calc!$K$77:$L$87,2,FALSE)</f>
        <v>#N/A</v>
      </c>
      <c r="E404" s="523" t="e">
        <f ca="1">VLOOKUP(B404,Calc!$K$88:$L$98,2,FALSE)</f>
        <v>#N/A</v>
      </c>
      <c r="F404" s="523" t="e">
        <f ca="1">IF(Errorhandling!$C$42,INDEX(Calc!$J$99:$J$109,MATCH(Display!B404,Calc!$K$99:$K$109,0),1),#N/A)</f>
        <v>#N/A</v>
      </c>
    </row>
    <row r="405" spans="2:6" x14ac:dyDescent="0.2">
      <c r="B405" s="6">
        <f t="shared" si="10"/>
        <v>402</v>
      </c>
      <c r="C405" s="81" t="e">
        <f ca="1">VLOOKUP(B405,Calc!$K$66:$L$76,2,FALSE)</f>
        <v>#N/A</v>
      </c>
      <c r="D405" s="81" t="e">
        <f ca="1">VLOOKUP(B405,Calc!$K$77:$L$87,2,FALSE)</f>
        <v>#N/A</v>
      </c>
      <c r="E405" s="523" t="e">
        <f ca="1">VLOOKUP(B405,Calc!$K$88:$L$98,2,FALSE)</f>
        <v>#N/A</v>
      </c>
      <c r="F405" s="523" t="e">
        <f ca="1">IF(Errorhandling!$C$42,INDEX(Calc!$J$99:$J$109,MATCH(Display!B405,Calc!$K$99:$K$109,0),1),#N/A)</f>
        <v>#N/A</v>
      </c>
    </row>
    <row r="406" spans="2:6" x14ac:dyDescent="0.2">
      <c r="B406" s="6">
        <f t="shared" si="10"/>
        <v>403</v>
      </c>
      <c r="C406" s="81" t="e">
        <f ca="1">VLOOKUP(B406,Calc!$K$66:$L$76,2,FALSE)</f>
        <v>#N/A</v>
      </c>
      <c r="D406" s="81" t="e">
        <f ca="1">VLOOKUP(B406,Calc!$K$77:$L$87,2,FALSE)</f>
        <v>#N/A</v>
      </c>
      <c r="E406" s="523" t="e">
        <f ca="1">VLOOKUP(B406,Calc!$K$88:$L$98,2,FALSE)</f>
        <v>#N/A</v>
      </c>
      <c r="F406" s="523" t="e">
        <f ca="1">IF(Errorhandling!$C$42,INDEX(Calc!$J$99:$J$109,MATCH(Display!B406,Calc!$K$99:$K$109,0),1),#N/A)</f>
        <v>#N/A</v>
      </c>
    </row>
    <row r="407" spans="2:6" x14ac:dyDescent="0.2">
      <c r="B407" s="6">
        <f t="shared" si="10"/>
        <v>404</v>
      </c>
      <c r="C407" s="81" t="e">
        <f ca="1">VLOOKUP(B407,Calc!$K$66:$L$76,2,FALSE)</f>
        <v>#N/A</v>
      </c>
      <c r="D407" s="81" t="e">
        <f ca="1">VLOOKUP(B407,Calc!$K$77:$L$87,2,FALSE)</f>
        <v>#N/A</v>
      </c>
      <c r="E407" s="523" t="e">
        <f ca="1">VLOOKUP(B407,Calc!$K$88:$L$98,2,FALSE)</f>
        <v>#N/A</v>
      </c>
      <c r="F407" s="523" t="e">
        <f ca="1">IF(Errorhandling!$C$42,INDEX(Calc!$J$99:$J$109,MATCH(Display!B407,Calc!$K$99:$K$109,0),1),#N/A)</f>
        <v>#N/A</v>
      </c>
    </row>
    <row r="408" spans="2:6" x14ac:dyDescent="0.2">
      <c r="B408" s="6">
        <f t="shared" si="10"/>
        <v>405</v>
      </c>
      <c r="C408" s="81" t="e">
        <f ca="1">VLOOKUP(B408,Calc!$K$66:$L$76,2,FALSE)</f>
        <v>#N/A</v>
      </c>
      <c r="D408" s="81">
        <f ca="1">VLOOKUP(B408,Calc!$K$77:$L$87,2,FALSE)</f>
        <v>137.9231954598516</v>
      </c>
      <c r="E408" s="523" t="e">
        <f ca="1">VLOOKUP(B408,Calc!$K$88:$L$98,2,FALSE)</f>
        <v>#N/A</v>
      </c>
      <c r="F408" s="523" t="e">
        <f ca="1">IF(Errorhandling!$C$42,INDEX(Calc!$J$99:$J$109,MATCH(Display!B408,Calc!$K$99:$K$109,0),1),#N/A)</f>
        <v>#N/A</v>
      </c>
    </row>
    <row r="409" spans="2:6" x14ac:dyDescent="0.2">
      <c r="B409" s="6">
        <f t="shared" si="10"/>
        <v>406</v>
      </c>
      <c r="C409" s="81" t="e">
        <f ca="1">VLOOKUP(B409,Calc!$K$66:$L$76,2,FALSE)</f>
        <v>#N/A</v>
      </c>
      <c r="D409" s="81" t="e">
        <f ca="1">VLOOKUP(B409,Calc!$K$77:$L$87,2,FALSE)</f>
        <v>#N/A</v>
      </c>
      <c r="E409" s="523" t="e">
        <f ca="1">VLOOKUP(B409,Calc!$K$88:$L$98,2,FALSE)</f>
        <v>#N/A</v>
      </c>
      <c r="F409" s="523" t="e">
        <f ca="1">IF(Errorhandling!$C$42,INDEX(Calc!$J$99:$J$109,MATCH(Display!B409,Calc!$K$99:$K$109,0),1),#N/A)</f>
        <v>#N/A</v>
      </c>
    </row>
    <row r="410" spans="2:6" x14ac:dyDescent="0.2">
      <c r="B410" s="6">
        <f t="shared" si="10"/>
        <v>407</v>
      </c>
      <c r="C410" s="81" t="e">
        <f ca="1">VLOOKUP(B410,Calc!$K$66:$L$76,2,FALSE)</f>
        <v>#N/A</v>
      </c>
      <c r="D410" s="81" t="e">
        <f ca="1">VLOOKUP(B410,Calc!$K$77:$L$87,2,FALSE)</f>
        <v>#N/A</v>
      </c>
      <c r="E410" s="523" t="e">
        <f ca="1">VLOOKUP(B410,Calc!$K$88:$L$98,2,FALSE)</f>
        <v>#N/A</v>
      </c>
      <c r="F410" s="523" t="e">
        <f ca="1">IF(Errorhandling!$C$42,INDEX(Calc!$J$99:$J$109,MATCH(Display!B410,Calc!$K$99:$K$109,0),1),#N/A)</f>
        <v>#N/A</v>
      </c>
    </row>
    <row r="411" spans="2:6" x14ac:dyDescent="0.2">
      <c r="B411" s="6">
        <f t="shared" si="10"/>
        <v>408</v>
      </c>
      <c r="C411" s="81" t="e">
        <f ca="1">VLOOKUP(B411,Calc!$K$66:$L$76,2,FALSE)</f>
        <v>#N/A</v>
      </c>
      <c r="D411" s="81" t="e">
        <f ca="1">VLOOKUP(B411,Calc!$K$77:$L$87,2,FALSE)</f>
        <v>#N/A</v>
      </c>
      <c r="E411" s="523" t="e">
        <f ca="1">VLOOKUP(B411,Calc!$K$88:$L$98,2,FALSE)</f>
        <v>#N/A</v>
      </c>
      <c r="F411" s="523" t="e">
        <f ca="1">IF(Errorhandling!$C$42,INDEX(Calc!$J$99:$J$109,MATCH(Display!B411,Calc!$K$99:$K$109,0),1),#N/A)</f>
        <v>#N/A</v>
      </c>
    </row>
    <row r="412" spans="2:6" x14ac:dyDescent="0.2">
      <c r="B412" s="6">
        <f t="shared" si="10"/>
        <v>409</v>
      </c>
      <c r="C412" s="81" t="e">
        <f ca="1">VLOOKUP(B412,Calc!$K$66:$L$76,2,FALSE)</f>
        <v>#N/A</v>
      </c>
      <c r="D412" s="81" t="e">
        <f ca="1">VLOOKUP(B412,Calc!$K$77:$L$87,2,FALSE)</f>
        <v>#N/A</v>
      </c>
      <c r="E412" s="523" t="e">
        <f ca="1">VLOOKUP(B412,Calc!$K$88:$L$98,2,FALSE)</f>
        <v>#N/A</v>
      </c>
      <c r="F412" s="523" t="e">
        <f ca="1">IF(Errorhandling!$C$42,INDEX(Calc!$J$99:$J$109,MATCH(Display!B412,Calc!$K$99:$K$109,0),1),#N/A)</f>
        <v>#N/A</v>
      </c>
    </row>
    <row r="413" spans="2:6" x14ac:dyDescent="0.2">
      <c r="B413" s="6">
        <f t="shared" si="10"/>
        <v>410</v>
      </c>
      <c r="C413" s="81" t="e">
        <f ca="1">VLOOKUP(B413,Calc!$K$66:$L$76,2,FALSE)</f>
        <v>#N/A</v>
      </c>
      <c r="D413" s="81" t="e">
        <f ca="1">VLOOKUP(B413,Calc!$K$77:$L$87,2,FALSE)</f>
        <v>#N/A</v>
      </c>
      <c r="E413" s="523" t="e">
        <f ca="1">VLOOKUP(B413,Calc!$K$88:$L$98,2,FALSE)</f>
        <v>#N/A</v>
      </c>
      <c r="F413" s="523" t="e">
        <f ca="1">IF(Errorhandling!$C$42,INDEX(Calc!$J$99:$J$109,MATCH(Display!B413,Calc!$K$99:$K$109,0),1),#N/A)</f>
        <v>#N/A</v>
      </c>
    </row>
    <row r="414" spans="2:6" x14ac:dyDescent="0.2">
      <c r="B414" s="6">
        <f t="shared" si="10"/>
        <v>411</v>
      </c>
      <c r="C414" s="81" t="e">
        <f ca="1">VLOOKUP(B414,Calc!$K$66:$L$76,2,FALSE)</f>
        <v>#N/A</v>
      </c>
      <c r="D414" s="81" t="e">
        <f ca="1">VLOOKUP(B414,Calc!$K$77:$L$87,2,FALSE)</f>
        <v>#N/A</v>
      </c>
      <c r="E414" s="523" t="e">
        <f ca="1">VLOOKUP(B414,Calc!$K$88:$L$98,2,FALSE)</f>
        <v>#N/A</v>
      </c>
      <c r="F414" s="523" t="e">
        <f ca="1">IF(Errorhandling!$C$42,INDEX(Calc!$J$99:$J$109,MATCH(Display!B414,Calc!$K$99:$K$109,0),1),#N/A)</f>
        <v>#N/A</v>
      </c>
    </row>
    <row r="415" spans="2:6" x14ac:dyDescent="0.2">
      <c r="B415" s="6">
        <f t="shared" si="10"/>
        <v>412</v>
      </c>
      <c r="C415" s="81" t="e">
        <f ca="1">VLOOKUP(B415,Calc!$K$66:$L$76,2,FALSE)</f>
        <v>#N/A</v>
      </c>
      <c r="D415" s="81" t="e">
        <f ca="1">VLOOKUP(B415,Calc!$K$77:$L$87,2,FALSE)</f>
        <v>#N/A</v>
      </c>
      <c r="E415" s="523" t="e">
        <f ca="1">VLOOKUP(B415,Calc!$K$88:$L$98,2,FALSE)</f>
        <v>#N/A</v>
      </c>
      <c r="F415" s="523" t="e">
        <f ca="1">IF(Errorhandling!$C$42,INDEX(Calc!$J$99:$J$109,MATCH(Display!B415,Calc!$K$99:$K$109,0),1),#N/A)</f>
        <v>#N/A</v>
      </c>
    </row>
    <row r="416" spans="2:6" x14ac:dyDescent="0.2">
      <c r="B416" s="6">
        <f t="shared" si="10"/>
        <v>413</v>
      </c>
      <c r="C416" s="81" t="e">
        <f ca="1">VLOOKUP(B416,Calc!$K$66:$L$76,2,FALSE)</f>
        <v>#N/A</v>
      </c>
      <c r="D416" s="81" t="e">
        <f ca="1">VLOOKUP(B416,Calc!$K$77:$L$87,2,FALSE)</f>
        <v>#N/A</v>
      </c>
      <c r="E416" s="523" t="e">
        <f ca="1">VLOOKUP(B416,Calc!$K$88:$L$98,2,FALSE)</f>
        <v>#N/A</v>
      </c>
      <c r="F416" s="523" t="e">
        <f ca="1">IF(Errorhandling!$C$42,INDEX(Calc!$J$99:$J$109,MATCH(Display!B416,Calc!$K$99:$K$109,0),1),#N/A)</f>
        <v>#N/A</v>
      </c>
    </row>
    <row r="417" spans="2:6" x14ac:dyDescent="0.2">
      <c r="B417" s="6">
        <f t="shared" si="10"/>
        <v>414</v>
      </c>
      <c r="C417" s="81" t="e">
        <f ca="1">VLOOKUP(B417,Calc!$K$66:$L$76,2,FALSE)</f>
        <v>#N/A</v>
      </c>
      <c r="D417" s="81" t="e">
        <f ca="1">VLOOKUP(B417,Calc!$K$77:$L$87,2,FALSE)</f>
        <v>#N/A</v>
      </c>
      <c r="E417" s="523" t="e">
        <f ca="1">VLOOKUP(B417,Calc!$K$88:$L$98,2,FALSE)</f>
        <v>#N/A</v>
      </c>
      <c r="F417" s="523" t="e">
        <f ca="1">IF(Errorhandling!$C$42,INDEX(Calc!$J$99:$J$109,MATCH(Display!B417,Calc!$K$99:$K$109,0),1),#N/A)</f>
        <v>#N/A</v>
      </c>
    </row>
    <row r="418" spans="2:6" x14ac:dyDescent="0.2">
      <c r="B418" s="6">
        <f t="shared" si="10"/>
        <v>415</v>
      </c>
      <c r="C418" s="81" t="e">
        <f ca="1">VLOOKUP(B418,Calc!$K$66:$L$76,2,FALSE)</f>
        <v>#N/A</v>
      </c>
      <c r="D418" s="81" t="e">
        <f ca="1">VLOOKUP(B418,Calc!$K$77:$L$87,2,FALSE)</f>
        <v>#N/A</v>
      </c>
      <c r="E418" s="523" t="e">
        <f ca="1">VLOOKUP(B418,Calc!$K$88:$L$98,2,FALSE)</f>
        <v>#N/A</v>
      </c>
      <c r="F418" s="523" t="e">
        <f ca="1">IF(Errorhandling!$C$42,INDEX(Calc!$J$99:$J$109,MATCH(Display!B418,Calc!$K$99:$K$109,0),1),#N/A)</f>
        <v>#N/A</v>
      </c>
    </row>
    <row r="419" spans="2:6" x14ac:dyDescent="0.2">
      <c r="B419" s="6">
        <f t="shared" si="10"/>
        <v>416</v>
      </c>
      <c r="C419" s="81" t="e">
        <f ca="1">VLOOKUP(B419,Calc!$K$66:$L$76,2,FALSE)</f>
        <v>#N/A</v>
      </c>
      <c r="D419" s="81" t="e">
        <f ca="1">VLOOKUP(B419,Calc!$K$77:$L$87,2,FALSE)</f>
        <v>#N/A</v>
      </c>
      <c r="E419" s="523" t="e">
        <f ca="1">VLOOKUP(B419,Calc!$K$88:$L$98,2,FALSE)</f>
        <v>#N/A</v>
      </c>
      <c r="F419" s="523" t="e">
        <f ca="1">IF(Errorhandling!$C$42,INDEX(Calc!$J$99:$J$109,MATCH(Display!B419,Calc!$K$99:$K$109,0),1),#N/A)</f>
        <v>#N/A</v>
      </c>
    </row>
    <row r="420" spans="2:6" x14ac:dyDescent="0.2">
      <c r="B420" s="6">
        <f t="shared" si="10"/>
        <v>417</v>
      </c>
      <c r="C420" s="81" t="e">
        <f ca="1">VLOOKUP(B420,Calc!$K$66:$L$76,2,FALSE)</f>
        <v>#N/A</v>
      </c>
      <c r="D420" s="81" t="e">
        <f ca="1">VLOOKUP(B420,Calc!$K$77:$L$87,2,FALSE)</f>
        <v>#N/A</v>
      </c>
      <c r="E420" s="523" t="e">
        <f ca="1">VLOOKUP(B420,Calc!$K$88:$L$98,2,FALSE)</f>
        <v>#N/A</v>
      </c>
      <c r="F420" s="523" t="e">
        <f ca="1">IF(Errorhandling!$C$42,INDEX(Calc!$J$99:$J$109,MATCH(Display!B420,Calc!$K$99:$K$109,0),1),#N/A)</f>
        <v>#N/A</v>
      </c>
    </row>
    <row r="421" spans="2:6" x14ac:dyDescent="0.2">
      <c r="B421" s="6">
        <f t="shared" si="10"/>
        <v>418</v>
      </c>
      <c r="C421" s="81" t="e">
        <f ca="1">VLOOKUP(B421,Calc!$K$66:$L$76,2,FALSE)</f>
        <v>#N/A</v>
      </c>
      <c r="D421" s="81" t="e">
        <f ca="1">VLOOKUP(B421,Calc!$K$77:$L$87,2,FALSE)</f>
        <v>#N/A</v>
      </c>
      <c r="E421" s="523" t="e">
        <f ca="1">VLOOKUP(B421,Calc!$K$88:$L$98,2,FALSE)</f>
        <v>#N/A</v>
      </c>
      <c r="F421" s="523" t="e">
        <f ca="1">IF(Errorhandling!$C$42,INDEX(Calc!$J$99:$J$109,MATCH(Display!B421,Calc!$K$99:$K$109,0),1),#N/A)</f>
        <v>#N/A</v>
      </c>
    </row>
    <row r="422" spans="2:6" x14ac:dyDescent="0.2">
      <c r="B422" s="6">
        <f t="shared" si="10"/>
        <v>419</v>
      </c>
      <c r="C422" s="81" t="e">
        <f ca="1">VLOOKUP(B422,Calc!$K$66:$L$76,2,FALSE)</f>
        <v>#N/A</v>
      </c>
      <c r="D422" s="81" t="e">
        <f ca="1">VLOOKUP(B422,Calc!$K$77:$L$87,2,FALSE)</f>
        <v>#N/A</v>
      </c>
      <c r="E422" s="523" t="e">
        <f ca="1">VLOOKUP(B422,Calc!$K$88:$L$98,2,FALSE)</f>
        <v>#N/A</v>
      </c>
      <c r="F422" s="523" t="e">
        <f ca="1">IF(Errorhandling!$C$42,INDEX(Calc!$J$99:$J$109,MATCH(Display!B422,Calc!$K$99:$K$109,0),1),#N/A)</f>
        <v>#N/A</v>
      </c>
    </row>
    <row r="423" spans="2:6" x14ac:dyDescent="0.2">
      <c r="B423" s="6">
        <f t="shared" si="10"/>
        <v>420</v>
      </c>
      <c r="C423" s="81" t="e">
        <f ca="1">VLOOKUP(B423,Calc!$K$66:$L$76,2,FALSE)</f>
        <v>#N/A</v>
      </c>
      <c r="D423" s="81" t="e">
        <f ca="1">VLOOKUP(B423,Calc!$K$77:$L$87,2,FALSE)</f>
        <v>#N/A</v>
      </c>
      <c r="E423" s="523" t="e">
        <f ca="1">VLOOKUP(B423,Calc!$K$88:$L$98,2,FALSE)</f>
        <v>#N/A</v>
      </c>
      <c r="F423" s="523" t="e">
        <f ca="1">IF(Errorhandling!$C$42,INDEX(Calc!$J$99:$J$109,MATCH(Display!B423,Calc!$K$99:$K$109,0),1),#N/A)</f>
        <v>#N/A</v>
      </c>
    </row>
    <row r="424" spans="2:6" x14ac:dyDescent="0.2">
      <c r="B424" s="6">
        <f t="shared" si="10"/>
        <v>421</v>
      </c>
      <c r="C424" s="81" t="e">
        <f ca="1">VLOOKUP(B424,Calc!$K$66:$L$76,2,FALSE)</f>
        <v>#N/A</v>
      </c>
      <c r="D424" s="81" t="e">
        <f ca="1">VLOOKUP(B424,Calc!$K$77:$L$87,2,FALSE)</f>
        <v>#N/A</v>
      </c>
      <c r="E424" s="523" t="e">
        <f ca="1">VLOOKUP(B424,Calc!$K$88:$L$98,2,FALSE)</f>
        <v>#N/A</v>
      </c>
      <c r="F424" s="523" t="e">
        <f ca="1">IF(Errorhandling!$C$42,INDEX(Calc!$J$99:$J$109,MATCH(Display!B424,Calc!$K$99:$K$109,0),1),#N/A)</f>
        <v>#N/A</v>
      </c>
    </row>
    <row r="425" spans="2:6" x14ac:dyDescent="0.2">
      <c r="B425" s="6">
        <f t="shared" si="10"/>
        <v>422</v>
      </c>
      <c r="C425" s="81" t="e">
        <f ca="1">VLOOKUP(B425,Calc!$K$66:$L$76,2,FALSE)</f>
        <v>#N/A</v>
      </c>
      <c r="D425" s="81" t="e">
        <f ca="1">VLOOKUP(B425,Calc!$K$77:$L$87,2,FALSE)</f>
        <v>#N/A</v>
      </c>
      <c r="E425" s="523" t="e">
        <f ca="1">VLOOKUP(B425,Calc!$K$88:$L$98,2,FALSE)</f>
        <v>#N/A</v>
      </c>
      <c r="F425" s="523" t="e">
        <f ca="1">IF(Errorhandling!$C$42,INDEX(Calc!$J$99:$J$109,MATCH(Display!B425,Calc!$K$99:$K$109,0),1),#N/A)</f>
        <v>#N/A</v>
      </c>
    </row>
    <row r="426" spans="2:6" x14ac:dyDescent="0.2">
      <c r="B426" s="6">
        <f t="shared" si="10"/>
        <v>423</v>
      </c>
      <c r="C426" s="81" t="e">
        <f ca="1">VLOOKUP(B426,Calc!$K$66:$L$76,2,FALSE)</f>
        <v>#N/A</v>
      </c>
      <c r="D426" s="81" t="e">
        <f ca="1">VLOOKUP(B426,Calc!$K$77:$L$87,2,FALSE)</f>
        <v>#N/A</v>
      </c>
      <c r="E426" s="523" t="e">
        <f ca="1">VLOOKUP(B426,Calc!$K$88:$L$98,2,FALSE)</f>
        <v>#N/A</v>
      </c>
      <c r="F426" s="523" t="e">
        <f ca="1">IF(Errorhandling!$C$42,INDEX(Calc!$J$99:$J$109,MATCH(Display!B426,Calc!$K$99:$K$109,0),1),#N/A)</f>
        <v>#N/A</v>
      </c>
    </row>
    <row r="427" spans="2:6" x14ac:dyDescent="0.2">
      <c r="B427" s="6">
        <f t="shared" si="10"/>
        <v>424</v>
      </c>
      <c r="C427" s="81" t="e">
        <f ca="1">VLOOKUP(B427,Calc!$K$66:$L$76,2,FALSE)</f>
        <v>#N/A</v>
      </c>
      <c r="D427" s="81" t="e">
        <f ca="1">VLOOKUP(B427,Calc!$K$77:$L$87,2,FALSE)</f>
        <v>#N/A</v>
      </c>
      <c r="E427" s="523" t="e">
        <f ca="1">VLOOKUP(B427,Calc!$K$88:$L$98,2,FALSE)</f>
        <v>#N/A</v>
      </c>
      <c r="F427" s="523" t="e">
        <f ca="1">IF(Errorhandling!$C$42,INDEX(Calc!$J$99:$J$109,MATCH(Display!B427,Calc!$K$99:$K$109,0),1),#N/A)</f>
        <v>#N/A</v>
      </c>
    </row>
    <row r="428" spans="2:6" x14ac:dyDescent="0.2">
      <c r="B428" s="6">
        <f t="shared" si="10"/>
        <v>425</v>
      </c>
      <c r="C428" s="81" t="e">
        <f ca="1">VLOOKUP(B428,Calc!$K$66:$L$76,2,FALSE)</f>
        <v>#N/A</v>
      </c>
      <c r="D428" s="81" t="e">
        <f ca="1">VLOOKUP(B428,Calc!$K$77:$L$87,2,FALSE)</f>
        <v>#N/A</v>
      </c>
      <c r="E428" s="523" t="e">
        <f ca="1">VLOOKUP(B428,Calc!$K$88:$L$98,2,FALSE)</f>
        <v>#N/A</v>
      </c>
      <c r="F428" s="523" t="e">
        <f ca="1">IF(Errorhandling!$C$42,INDEX(Calc!$J$99:$J$109,MATCH(Display!B428,Calc!$K$99:$K$109,0),1),#N/A)</f>
        <v>#N/A</v>
      </c>
    </row>
    <row r="429" spans="2:6" x14ac:dyDescent="0.2">
      <c r="B429" s="6">
        <f t="shared" si="10"/>
        <v>426</v>
      </c>
      <c r="C429" s="81" t="e">
        <f ca="1">VLOOKUP(B429,Calc!$K$66:$L$76,2,FALSE)</f>
        <v>#N/A</v>
      </c>
      <c r="D429" s="81" t="e">
        <f ca="1">VLOOKUP(B429,Calc!$K$77:$L$87,2,FALSE)</f>
        <v>#N/A</v>
      </c>
      <c r="E429" s="523" t="e">
        <f ca="1">VLOOKUP(B429,Calc!$K$88:$L$98,2,FALSE)</f>
        <v>#N/A</v>
      </c>
      <c r="F429" s="523" t="e">
        <f ca="1">IF(Errorhandling!$C$42,INDEX(Calc!$J$99:$J$109,MATCH(Display!B429,Calc!$K$99:$K$109,0),1),#N/A)</f>
        <v>#N/A</v>
      </c>
    </row>
    <row r="430" spans="2:6" x14ac:dyDescent="0.2">
      <c r="B430" s="6">
        <f t="shared" si="10"/>
        <v>427</v>
      </c>
      <c r="C430" s="81" t="e">
        <f ca="1">VLOOKUP(B430,Calc!$K$66:$L$76,2,FALSE)</f>
        <v>#N/A</v>
      </c>
      <c r="D430" s="81" t="e">
        <f ca="1">VLOOKUP(B430,Calc!$K$77:$L$87,2,FALSE)</f>
        <v>#N/A</v>
      </c>
      <c r="E430" s="523" t="e">
        <f ca="1">VLOOKUP(B430,Calc!$K$88:$L$98,2,FALSE)</f>
        <v>#N/A</v>
      </c>
      <c r="F430" s="523" t="e">
        <f ca="1">IF(Errorhandling!$C$42,INDEX(Calc!$J$99:$J$109,MATCH(Display!B430,Calc!$K$99:$K$109,0),1),#N/A)</f>
        <v>#N/A</v>
      </c>
    </row>
    <row r="431" spans="2:6" x14ac:dyDescent="0.2">
      <c r="B431" s="6">
        <f t="shared" si="10"/>
        <v>428</v>
      </c>
      <c r="C431" s="81" t="e">
        <f ca="1">VLOOKUP(B431,Calc!$K$66:$L$76,2,FALSE)</f>
        <v>#N/A</v>
      </c>
      <c r="D431" s="81" t="e">
        <f ca="1">VLOOKUP(B431,Calc!$K$77:$L$87,2,FALSE)</f>
        <v>#N/A</v>
      </c>
      <c r="E431" s="523" t="e">
        <f ca="1">VLOOKUP(B431,Calc!$K$88:$L$98,2,FALSE)</f>
        <v>#N/A</v>
      </c>
      <c r="F431" s="523" t="e">
        <f ca="1">IF(Errorhandling!$C$42,INDEX(Calc!$J$99:$J$109,MATCH(Display!B431,Calc!$K$99:$K$109,0),1),#N/A)</f>
        <v>#N/A</v>
      </c>
    </row>
    <row r="432" spans="2:6" x14ac:dyDescent="0.2">
      <c r="B432" s="6">
        <f t="shared" si="10"/>
        <v>429</v>
      </c>
      <c r="C432" s="81" t="e">
        <f ca="1">VLOOKUP(B432,Calc!$K$66:$L$76,2,FALSE)</f>
        <v>#N/A</v>
      </c>
      <c r="D432" s="81" t="e">
        <f ca="1">VLOOKUP(B432,Calc!$K$77:$L$87,2,FALSE)</f>
        <v>#N/A</v>
      </c>
      <c r="E432" s="523" t="e">
        <f ca="1">VLOOKUP(B432,Calc!$K$88:$L$98,2,FALSE)</f>
        <v>#N/A</v>
      </c>
      <c r="F432" s="523" t="e">
        <f ca="1">IF(Errorhandling!$C$42,INDEX(Calc!$J$99:$J$109,MATCH(Display!B432,Calc!$K$99:$K$109,0),1),#N/A)</f>
        <v>#N/A</v>
      </c>
    </row>
    <row r="433" spans="2:6" x14ac:dyDescent="0.2">
      <c r="B433" s="6">
        <f t="shared" si="10"/>
        <v>430</v>
      </c>
      <c r="C433" s="81" t="e">
        <f ca="1">VLOOKUP(B433,Calc!$K$66:$L$76,2,FALSE)</f>
        <v>#N/A</v>
      </c>
      <c r="D433" s="81" t="e">
        <f ca="1">VLOOKUP(B433,Calc!$K$77:$L$87,2,FALSE)</f>
        <v>#N/A</v>
      </c>
      <c r="E433" s="523" t="e">
        <f ca="1">VLOOKUP(B433,Calc!$K$88:$L$98,2,FALSE)</f>
        <v>#N/A</v>
      </c>
      <c r="F433" s="523" t="e">
        <f ca="1">IF(Errorhandling!$C$42,INDEX(Calc!$J$99:$J$109,MATCH(Display!B433,Calc!$K$99:$K$109,0),1),#N/A)</f>
        <v>#N/A</v>
      </c>
    </row>
    <row r="434" spans="2:6" x14ac:dyDescent="0.2">
      <c r="B434" s="6">
        <f t="shared" si="10"/>
        <v>431</v>
      </c>
      <c r="C434" s="81" t="e">
        <f ca="1">VLOOKUP(B434,Calc!$K$66:$L$76,2,FALSE)</f>
        <v>#N/A</v>
      </c>
      <c r="D434" s="81" t="e">
        <f ca="1">VLOOKUP(B434,Calc!$K$77:$L$87,2,FALSE)</f>
        <v>#N/A</v>
      </c>
      <c r="E434" s="523" t="e">
        <f ca="1">VLOOKUP(B434,Calc!$K$88:$L$98,2,FALSE)</f>
        <v>#N/A</v>
      </c>
      <c r="F434" s="523" t="e">
        <f ca="1">IF(Errorhandling!$C$42,INDEX(Calc!$J$99:$J$109,MATCH(Display!B434,Calc!$K$99:$K$109,0),1),#N/A)</f>
        <v>#N/A</v>
      </c>
    </row>
    <row r="435" spans="2:6" x14ac:dyDescent="0.2">
      <c r="B435" s="6">
        <f t="shared" si="10"/>
        <v>432</v>
      </c>
      <c r="C435" s="81" t="e">
        <f ca="1">VLOOKUP(B435,Calc!$K$66:$L$76,2,FALSE)</f>
        <v>#N/A</v>
      </c>
      <c r="D435" s="81" t="e">
        <f ca="1">VLOOKUP(B435,Calc!$K$77:$L$87,2,FALSE)</f>
        <v>#N/A</v>
      </c>
      <c r="E435" s="523" t="e">
        <f ca="1">VLOOKUP(B435,Calc!$K$88:$L$98,2,FALSE)</f>
        <v>#N/A</v>
      </c>
      <c r="F435" s="523" t="e">
        <f ca="1">IF(Errorhandling!$C$42,INDEX(Calc!$J$99:$J$109,MATCH(Display!B435,Calc!$K$99:$K$109,0),1),#N/A)</f>
        <v>#N/A</v>
      </c>
    </row>
    <row r="436" spans="2:6" x14ac:dyDescent="0.2">
      <c r="B436" s="6">
        <f t="shared" si="10"/>
        <v>433</v>
      </c>
      <c r="C436" s="81" t="e">
        <f ca="1">VLOOKUP(B436,Calc!$K$66:$L$76,2,FALSE)</f>
        <v>#N/A</v>
      </c>
      <c r="D436" s="81" t="e">
        <f ca="1">VLOOKUP(B436,Calc!$K$77:$L$87,2,FALSE)</f>
        <v>#N/A</v>
      </c>
      <c r="E436" s="523" t="e">
        <f ca="1">VLOOKUP(B436,Calc!$K$88:$L$98,2,FALSE)</f>
        <v>#N/A</v>
      </c>
      <c r="F436" s="523" t="e">
        <f ca="1">IF(Errorhandling!$C$42,INDEX(Calc!$J$99:$J$109,MATCH(Display!B436,Calc!$K$99:$K$109,0),1),#N/A)</f>
        <v>#N/A</v>
      </c>
    </row>
    <row r="437" spans="2:6" x14ac:dyDescent="0.2">
      <c r="B437" s="6">
        <f t="shared" si="10"/>
        <v>434</v>
      </c>
      <c r="C437" s="81" t="e">
        <f ca="1">VLOOKUP(B437,Calc!$K$66:$L$76,2,FALSE)</f>
        <v>#N/A</v>
      </c>
      <c r="D437" s="81" t="e">
        <f ca="1">VLOOKUP(B437,Calc!$K$77:$L$87,2,FALSE)</f>
        <v>#N/A</v>
      </c>
      <c r="E437" s="523" t="e">
        <f ca="1">VLOOKUP(B437,Calc!$K$88:$L$98,2,FALSE)</f>
        <v>#N/A</v>
      </c>
      <c r="F437" s="523" t="e">
        <f ca="1">IF(Errorhandling!$C$42,INDEX(Calc!$J$99:$J$109,MATCH(Display!B437,Calc!$K$99:$K$109,0),1),#N/A)</f>
        <v>#N/A</v>
      </c>
    </row>
    <row r="438" spans="2:6" x14ac:dyDescent="0.2">
      <c r="B438" s="6">
        <f t="shared" si="10"/>
        <v>435</v>
      </c>
      <c r="C438" s="81" t="e">
        <f ca="1">VLOOKUP(B438,Calc!$K$66:$L$76,2,FALSE)</f>
        <v>#N/A</v>
      </c>
      <c r="D438" s="81" t="e">
        <f ca="1">VLOOKUP(B438,Calc!$K$77:$L$87,2,FALSE)</f>
        <v>#N/A</v>
      </c>
      <c r="E438" s="523" t="e">
        <f ca="1">VLOOKUP(B438,Calc!$K$88:$L$98,2,FALSE)</f>
        <v>#N/A</v>
      </c>
      <c r="F438" s="523" t="e">
        <f ca="1">IF(Errorhandling!$C$42,INDEX(Calc!$J$99:$J$109,MATCH(Display!B438,Calc!$K$99:$K$109,0),1),#N/A)</f>
        <v>#N/A</v>
      </c>
    </row>
    <row r="439" spans="2:6" x14ac:dyDescent="0.2">
      <c r="B439" s="6">
        <f t="shared" si="10"/>
        <v>436</v>
      </c>
      <c r="C439" s="81" t="e">
        <f ca="1">VLOOKUP(B439,Calc!$K$66:$L$76,2,FALSE)</f>
        <v>#N/A</v>
      </c>
      <c r="D439" s="81" t="e">
        <f ca="1">VLOOKUP(B439,Calc!$K$77:$L$87,2,FALSE)</f>
        <v>#N/A</v>
      </c>
      <c r="E439" s="523" t="e">
        <f ca="1">VLOOKUP(B439,Calc!$K$88:$L$98,2,FALSE)</f>
        <v>#N/A</v>
      </c>
      <c r="F439" s="523" t="e">
        <f ca="1">IF(Errorhandling!$C$42,INDEX(Calc!$J$99:$J$109,MATCH(Display!B439,Calc!$K$99:$K$109,0),1),#N/A)</f>
        <v>#N/A</v>
      </c>
    </row>
    <row r="440" spans="2:6" x14ac:dyDescent="0.2">
      <c r="B440" s="6">
        <f t="shared" si="10"/>
        <v>437</v>
      </c>
      <c r="C440" s="81" t="e">
        <f ca="1">VLOOKUP(B440,Calc!$K$66:$L$76,2,FALSE)</f>
        <v>#N/A</v>
      </c>
      <c r="D440" s="81" t="e">
        <f ca="1">VLOOKUP(B440,Calc!$K$77:$L$87,2,FALSE)</f>
        <v>#N/A</v>
      </c>
      <c r="E440" s="523" t="e">
        <f ca="1">VLOOKUP(B440,Calc!$K$88:$L$98,2,FALSE)</f>
        <v>#N/A</v>
      </c>
      <c r="F440" s="523" t="e">
        <f ca="1">IF(Errorhandling!$C$42,INDEX(Calc!$J$99:$J$109,MATCH(Display!B440,Calc!$K$99:$K$109,0),1),#N/A)</f>
        <v>#N/A</v>
      </c>
    </row>
    <row r="441" spans="2:6" x14ac:dyDescent="0.2">
      <c r="B441" s="6">
        <f t="shared" si="10"/>
        <v>438</v>
      </c>
      <c r="C441" s="81" t="e">
        <f ca="1">VLOOKUP(B441,Calc!$K$66:$L$76,2,FALSE)</f>
        <v>#N/A</v>
      </c>
      <c r="D441" s="81" t="e">
        <f ca="1">VLOOKUP(B441,Calc!$K$77:$L$87,2,FALSE)</f>
        <v>#N/A</v>
      </c>
      <c r="E441" s="523" t="e">
        <f ca="1">VLOOKUP(B441,Calc!$K$88:$L$98,2,FALSE)</f>
        <v>#N/A</v>
      </c>
      <c r="F441" s="523" t="e">
        <f ca="1">IF(Errorhandling!$C$42,INDEX(Calc!$J$99:$J$109,MATCH(Display!B441,Calc!$K$99:$K$109,0),1),#N/A)</f>
        <v>#N/A</v>
      </c>
    </row>
    <row r="442" spans="2:6" x14ac:dyDescent="0.2">
      <c r="B442" s="6">
        <f t="shared" si="10"/>
        <v>439</v>
      </c>
      <c r="C442" s="81" t="e">
        <f ca="1">VLOOKUP(B442,Calc!$K$66:$L$76,2,FALSE)</f>
        <v>#N/A</v>
      </c>
      <c r="D442" s="81" t="e">
        <f ca="1">VLOOKUP(B442,Calc!$K$77:$L$87,2,FALSE)</f>
        <v>#N/A</v>
      </c>
      <c r="E442" s="523" t="e">
        <f ca="1">VLOOKUP(B442,Calc!$K$88:$L$98,2,FALSE)</f>
        <v>#N/A</v>
      </c>
      <c r="F442" s="523" t="e">
        <f ca="1">IF(Errorhandling!$C$42,INDEX(Calc!$J$99:$J$109,MATCH(Display!B442,Calc!$K$99:$K$109,0),1),#N/A)</f>
        <v>#N/A</v>
      </c>
    </row>
    <row r="443" spans="2:6" x14ac:dyDescent="0.2">
      <c r="B443" s="6">
        <f t="shared" si="10"/>
        <v>440</v>
      </c>
      <c r="C443" s="81" t="e">
        <f ca="1">VLOOKUP(B443,Calc!$K$66:$L$76,2,FALSE)</f>
        <v>#N/A</v>
      </c>
      <c r="D443" s="81" t="e">
        <f ca="1">VLOOKUP(B443,Calc!$K$77:$L$87,2,FALSE)</f>
        <v>#N/A</v>
      </c>
      <c r="E443" s="523" t="e">
        <f ca="1">VLOOKUP(B443,Calc!$K$88:$L$98,2,FALSE)</f>
        <v>#N/A</v>
      </c>
      <c r="F443" s="523" t="e">
        <f ca="1">IF(Errorhandling!$C$42,INDEX(Calc!$J$99:$J$109,MATCH(Display!B443,Calc!$K$99:$K$109,0),1),#N/A)</f>
        <v>#N/A</v>
      </c>
    </row>
    <row r="444" spans="2:6" x14ac:dyDescent="0.2">
      <c r="B444" s="6">
        <f t="shared" si="10"/>
        <v>441</v>
      </c>
      <c r="C444" s="81" t="e">
        <f ca="1">VLOOKUP(B444,Calc!$K$66:$L$76,2,FALSE)</f>
        <v>#N/A</v>
      </c>
      <c r="D444" s="81" t="e">
        <f ca="1">VLOOKUP(B444,Calc!$K$77:$L$87,2,FALSE)</f>
        <v>#N/A</v>
      </c>
      <c r="E444" s="523" t="e">
        <f ca="1">VLOOKUP(B444,Calc!$K$88:$L$98,2,FALSE)</f>
        <v>#N/A</v>
      </c>
      <c r="F444" s="523" t="e">
        <f ca="1">IF(Errorhandling!$C$42,INDEX(Calc!$J$99:$J$109,MATCH(Display!B444,Calc!$K$99:$K$109,0),1),#N/A)</f>
        <v>#N/A</v>
      </c>
    </row>
    <row r="445" spans="2:6" x14ac:dyDescent="0.2">
      <c r="B445" s="6">
        <f t="shared" si="10"/>
        <v>442</v>
      </c>
      <c r="C445" s="81" t="e">
        <f ca="1">VLOOKUP(B445,Calc!$K$66:$L$76,2,FALSE)</f>
        <v>#N/A</v>
      </c>
      <c r="D445" s="81" t="e">
        <f ca="1">VLOOKUP(B445,Calc!$K$77:$L$87,2,FALSE)</f>
        <v>#N/A</v>
      </c>
      <c r="E445" s="523" t="e">
        <f ca="1">VLOOKUP(B445,Calc!$K$88:$L$98,2,FALSE)</f>
        <v>#N/A</v>
      </c>
      <c r="F445" s="523" t="e">
        <f ca="1">IF(Errorhandling!$C$42,INDEX(Calc!$J$99:$J$109,MATCH(Display!B445,Calc!$K$99:$K$109,0),1),#N/A)</f>
        <v>#N/A</v>
      </c>
    </row>
    <row r="446" spans="2:6" x14ac:dyDescent="0.2">
      <c r="B446" s="6">
        <f t="shared" si="10"/>
        <v>443</v>
      </c>
      <c r="C446" s="81" t="e">
        <f ca="1">VLOOKUP(B446,Calc!$K$66:$L$76,2,FALSE)</f>
        <v>#N/A</v>
      </c>
      <c r="D446" s="81" t="e">
        <f ca="1">VLOOKUP(B446,Calc!$K$77:$L$87,2,FALSE)</f>
        <v>#N/A</v>
      </c>
      <c r="E446" s="523" t="e">
        <f ca="1">VLOOKUP(B446,Calc!$K$88:$L$98,2,FALSE)</f>
        <v>#N/A</v>
      </c>
      <c r="F446" s="523" t="e">
        <f ca="1">IF(Errorhandling!$C$42,INDEX(Calc!$J$99:$J$109,MATCH(Display!B446,Calc!$K$99:$K$109,0),1),#N/A)</f>
        <v>#N/A</v>
      </c>
    </row>
    <row r="447" spans="2:6" x14ac:dyDescent="0.2">
      <c r="B447" s="6">
        <f t="shared" si="10"/>
        <v>444</v>
      </c>
      <c r="C447" s="81" t="e">
        <f ca="1">VLOOKUP(B447,Calc!$K$66:$L$76,2,FALSE)</f>
        <v>#N/A</v>
      </c>
      <c r="D447" s="81" t="e">
        <f ca="1">VLOOKUP(B447,Calc!$K$77:$L$87,2,FALSE)</f>
        <v>#N/A</v>
      </c>
      <c r="E447" s="523" t="e">
        <f ca="1">VLOOKUP(B447,Calc!$K$88:$L$98,2,FALSE)</f>
        <v>#N/A</v>
      </c>
      <c r="F447" s="523" t="e">
        <f ca="1">IF(Errorhandling!$C$42,INDEX(Calc!$J$99:$J$109,MATCH(Display!B447,Calc!$K$99:$K$109,0),1),#N/A)</f>
        <v>#N/A</v>
      </c>
    </row>
    <row r="448" spans="2:6" x14ac:dyDescent="0.2">
      <c r="B448" s="6">
        <f t="shared" si="10"/>
        <v>445</v>
      </c>
      <c r="C448" s="81" t="e">
        <f ca="1">VLOOKUP(B448,Calc!$K$66:$L$76,2,FALSE)</f>
        <v>#N/A</v>
      </c>
      <c r="D448" s="81" t="e">
        <f ca="1">VLOOKUP(B448,Calc!$K$77:$L$87,2,FALSE)</f>
        <v>#N/A</v>
      </c>
      <c r="E448" s="523" t="e">
        <f ca="1">VLOOKUP(B448,Calc!$K$88:$L$98,2,FALSE)</f>
        <v>#N/A</v>
      </c>
      <c r="F448" s="523" t="e">
        <f ca="1">IF(Errorhandling!$C$42,INDEX(Calc!$J$99:$J$109,MATCH(Display!B448,Calc!$K$99:$K$109,0),1),#N/A)</f>
        <v>#N/A</v>
      </c>
    </row>
    <row r="449" spans="2:6" x14ac:dyDescent="0.2">
      <c r="B449" s="6">
        <f t="shared" si="10"/>
        <v>446</v>
      </c>
      <c r="C449" s="81" t="e">
        <f ca="1">VLOOKUP(B449,Calc!$K$66:$L$76,2,FALSE)</f>
        <v>#N/A</v>
      </c>
      <c r="D449" s="81" t="e">
        <f ca="1">VLOOKUP(B449,Calc!$K$77:$L$87,2,FALSE)</f>
        <v>#N/A</v>
      </c>
      <c r="E449" s="523" t="e">
        <f ca="1">VLOOKUP(B449,Calc!$K$88:$L$98,2,FALSE)</f>
        <v>#N/A</v>
      </c>
      <c r="F449" s="523" t="e">
        <f ca="1">IF(Errorhandling!$C$42,INDEX(Calc!$J$99:$J$109,MATCH(Display!B449,Calc!$K$99:$K$109,0),1),#N/A)</f>
        <v>#N/A</v>
      </c>
    </row>
    <row r="450" spans="2:6" x14ac:dyDescent="0.2">
      <c r="B450" s="6">
        <f t="shared" si="10"/>
        <v>447</v>
      </c>
      <c r="C450" s="81" t="e">
        <f ca="1">VLOOKUP(B450,Calc!$K$66:$L$76,2,FALSE)</f>
        <v>#N/A</v>
      </c>
      <c r="D450" s="81" t="e">
        <f ca="1">VLOOKUP(B450,Calc!$K$77:$L$87,2,FALSE)</f>
        <v>#N/A</v>
      </c>
      <c r="E450" s="523" t="e">
        <f ca="1">VLOOKUP(B450,Calc!$K$88:$L$98,2,FALSE)</f>
        <v>#N/A</v>
      </c>
      <c r="F450" s="523" t="e">
        <f ca="1">IF(Errorhandling!$C$42,INDEX(Calc!$J$99:$J$109,MATCH(Display!B450,Calc!$K$99:$K$109,0),1),#N/A)</f>
        <v>#N/A</v>
      </c>
    </row>
    <row r="451" spans="2:6" x14ac:dyDescent="0.2">
      <c r="B451" s="6">
        <f t="shared" si="10"/>
        <v>448</v>
      </c>
      <c r="C451" s="81" t="e">
        <f ca="1">VLOOKUP(B451,Calc!$K$66:$L$76,2,FALSE)</f>
        <v>#N/A</v>
      </c>
      <c r="D451" s="81" t="e">
        <f ca="1">VLOOKUP(B451,Calc!$K$77:$L$87,2,FALSE)</f>
        <v>#N/A</v>
      </c>
      <c r="E451" s="523" t="e">
        <f ca="1">VLOOKUP(B451,Calc!$K$88:$L$98,2,FALSE)</f>
        <v>#N/A</v>
      </c>
      <c r="F451" s="523" t="e">
        <f ca="1">IF(Errorhandling!$C$42,INDEX(Calc!$J$99:$J$109,MATCH(Display!B451,Calc!$K$99:$K$109,0),1),#N/A)</f>
        <v>#N/A</v>
      </c>
    </row>
    <row r="452" spans="2:6" x14ac:dyDescent="0.2">
      <c r="B452" s="6">
        <f t="shared" si="10"/>
        <v>449</v>
      </c>
      <c r="C452" s="81" t="e">
        <f ca="1">VLOOKUP(B452,Calc!$K$66:$L$76,2,FALSE)</f>
        <v>#N/A</v>
      </c>
      <c r="D452" s="81" t="e">
        <f ca="1">VLOOKUP(B452,Calc!$K$77:$L$87,2,FALSE)</f>
        <v>#N/A</v>
      </c>
      <c r="E452" s="523" t="e">
        <f ca="1">VLOOKUP(B452,Calc!$K$88:$L$98,2,FALSE)</f>
        <v>#N/A</v>
      </c>
      <c r="F452" s="523" t="e">
        <f ca="1">IF(Errorhandling!$C$42,INDEX(Calc!$J$99:$J$109,MATCH(Display!B452,Calc!$K$99:$K$109,0),1),#N/A)</f>
        <v>#N/A</v>
      </c>
    </row>
    <row r="453" spans="2:6" x14ac:dyDescent="0.2">
      <c r="B453" s="6">
        <f t="shared" si="10"/>
        <v>450</v>
      </c>
      <c r="C453" s="81" t="e">
        <f ca="1">VLOOKUP(B453,Calc!$K$66:$L$76,2,FALSE)</f>
        <v>#N/A</v>
      </c>
      <c r="D453" s="81">
        <f ca="1">VLOOKUP(B453,Calc!$K$77:$L$87,2,FALSE)</f>
        <v>77.559912509380538</v>
      </c>
      <c r="E453" s="523" t="e">
        <f ca="1">VLOOKUP(B453,Calc!$K$88:$L$98,2,FALSE)</f>
        <v>#N/A</v>
      </c>
      <c r="F453" s="523" t="e">
        <f ca="1">IF(Errorhandling!$C$42,INDEX(Calc!$J$99:$J$109,MATCH(Display!B453,Calc!$K$99:$K$109,0),1),#N/A)</f>
        <v>#N/A</v>
      </c>
    </row>
    <row r="454" spans="2:6" x14ac:dyDescent="0.2">
      <c r="B454" s="6">
        <f t="shared" si="10"/>
        <v>451</v>
      </c>
      <c r="C454" s="81" t="e">
        <f ca="1">VLOOKUP(B454,Calc!$K$66:$L$76,2,FALSE)</f>
        <v>#N/A</v>
      </c>
      <c r="D454" s="81" t="e">
        <f ca="1">VLOOKUP(B454,Calc!$K$77:$L$87,2,FALSE)</f>
        <v>#N/A</v>
      </c>
      <c r="E454" s="523" t="e">
        <f ca="1">VLOOKUP(B454,Calc!$K$88:$L$98,2,FALSE)</f>
        <v>#N/A</v>
      </c>
      <c r="F454" s="523" t="e">
        <f ca="1">IF(Errorhandling!$C$42,INDEX(Calc!$J$99:$J$109,MATCH(Display!B454,Calc!$K$99:$K$109,0),1),#N/A)</f>
        <v>#N/A</v>
      </c>
    </row>
    <row r="455" spans="2:6" x14ac:dyDescent="0.2">
      <c r="B455" s="6">
        <f t="shared" ref="B455:B518" si="11">1+B454</f>
        <v>452</v>
      </c>
      <c r="C455" s="81" t="e">
        <f ca="1">VLOOKUP(B455,Calc!$K$66:$L$76,2,FALSE)</f>
        <v>#N/A</v>
      </c>
      <c r="D455" s="81" t="e">
        <f ca="1">VLOOKUP(B455,Calc!$K$77:$L$87,2,FALSE)</f>
        <v>#N/A</v>
      </c>
      <c r="E455" s="523" t="e">
        <f ca="1">VLOOKUP(B455,Calc!$K$88:$L$98,2,FALSE)</f>
        <v>#N/A</v>
      </c>
      <c r="F455" s="523" t="e">
        <f ca="1">IF(Errorhandling!$C$42,INDEX(Calc!$J$99:$J$109,MATCH(Display!B455,Calc!$K$99:$K$109,0),1),#N/A)</f>
        <v>#N/A</v>
      </c>
    </row>
    <row r="456" spans="2:6" x14ac:dyDescent="0.2">
      <c r="B456" s="6">
        <f t="shared" si="11"/>
        <v>453</v>
      </c>
      <c r="C456" s="81" t="e">
        <f ca="1">VLOOKUP(B456,Calc!$K$66:$L$76,2,FALSE)</f>
        <v>#N/A</v>
      </c>
      <c r="D456" s="81" t="e">
        <f ca="1">VLOOKUP(B456,Calc!$K$77:$L$87,2,FALSE)</f>
        <v>#N/A</v>
      </c>
      <c r="E456" s="523" t="e">
        <f ca="1">VLOOKUP(B456,Calc!$K$88:$L$98,2,FALSE)</f>
        <v>#N/A</v>
      </c>
      <c r="F456" s="523" t="e">
        <f ca="1">IF(Errorhandling!$C$42,INDEX(Calc!$J$99:$J$109,MATCH(Display!B456,Calc!$K$99:$K$109,0),1),#N/A)</f>
        <v>#N/A</v>
      </c>
    </row>
    <row r="457" spans="2:6" x14ac:dyDescent="0.2">
      <c r="B457" s="6">
        <f t="shared" si="11"/>
        <v>454</v>
      </c>
      <c r="C457" s="81" t="e">
        <f ca="1">VLOOKUP(B457,Calc!$K$66:$L$76,2,FALSE)</f>
        <v>#N/A</v>
      </c>
      <c r="D457" s="81" t="e">
        <f ca="1">VLOOKUP(B457,Calc!$K$77:$L$87,2,FALSE)</f>
        <v>#N/A</v>
      </c>
      <c r="E457" s="523" t="e">
        <f ca="1">VLOOKUP(B457,Calc!$K$88:$L$98,2,FALSE)</f>
        <v>#N/A</v>
      </c>
      <c r="F457" s="523" t="e">
        <f ca="1">IF(Errorhandling!$C$42,INDEX(Calc!$J$99:$J$109,MATCH(Display!B457,Calc!$K$99:$K$109,0),1),#N/A)</f>
        <v>#N/A</v>
      </c>
    </row>
    <row r="458" spans="2:6" x14ac:dyDescent="0.2">
      <c r="B458" s="6">
        <f t="shared" si="11"/>
        <v>455</v>
      </c>
      <c r="C458" s="81" t="e">
        <f ca="1">VLOOKUP(B458,Calc!$K$66:$L$76,2,FALSE)</f>
        <v>#N/A</v>
      </c>
      <c r="D458" s="81" t="e">
        <f ca="1">VLOOKUP(B458,Calc!$K$77:$L$87,2,FALSE)</f>
        <v>#N/A</v>
      </c>
      <c r="E458" s="523" t="e">
        <f ca="1">VLOOKUP(B458,Calc!$K$88:$L$98,2,FALSE)</f>
        <v>#N/A</v>
      </c>
      <c r="F458" s="523" t="e">
        <f ca="1">IF(Errorhandling!$C$42,INDEX(Calc!$J$99:$J$109,MATCH(Display!B458,Calc!$K$99:$K$109,0),1),#N/A)</f>
        <v>#N/A</v>
      </c>
    </row>
    <row r="459" spans="2:6" x14ac:dyDescent="0.2">
      <c r="B459" s="6">
        <f t="shared" si="11"/>
        <v>456</v>
      </c>
      <c r="C459" s="81" t="e">
        <f ca="1">VLOOKUP(B459,Calc!$K$66:$L$76,2,FALSE)</f>
        <v>#N/A</v>
      </c>
      <c r="D459" s="81" t="e">
        <f ca="1">VLOOKUP(B459,Calc!$K$77:$L$87,2,FALSE)</f>
        <v>#N/A</v>
      </c>
      <c r="E459" s="523" t="e">
        <f ca="1">VLOOKUP(B459,Calc!$K$88:$L$98,2,FALSE)</f>
        <v>#N/A</v>
      </c>
      <c r="F459" s="523" t="e">
        <f ca="1">IF(Errorhandling!$C$42,INDEX(Calc!$J$99:$J$109,MATCH(Display!B459,Calc!$K$99:$K$109,0),1),#N/A)</f>
        <v>#N/A</v>
      </c>
    </row>
    <row r="460" spans="2:6" x14ac:dyDescent="0.2">
      <c r="B460" s="6">
        <f t="shared" si="11"/>
        <v>457</v>
      </c>
      <c r="C460" s="81" t="e">
        <f ca="1">VLOOKUP(B460,Calc!$K$66:$L$76,2,FALSE)</f>
        <v>#N/A</v>
      </c>
      <c r="D460" s="81" t="e">
        <f ca="1">VLOOKUP(B460,Calc!$K$77:$L$87,2,FALSE)</f>
        <v>#N/A</v>
      </c>
      <c r="E460" s="523" t="e">
        <f ca="1">VLOOKUP(B460,Calc!$K$88:$L$98,2,FALSE)</f>
        <v>#N/A</v>
      </c>
      <c r="F460" s="523" t="e">
        <f ca="1">IF(Errorhandling!$C$42,INDEX(Calc!$J$99:$J$109,MATCH(Display!B460,Calc!$K$99:$K$109,0),1),#N/A)</f>
        <v>#N/A</v>
      </c>
    </row>
    <row r="461" spans="2:6" x14ac:dyDescent="0.2">
      <c r="B461" s="6">
        <f t="shared" si="11"/>
        <v>458</v>
      </c>
      <c r="C461" s="81" t="e">
        <f ca="1">VLOOKUP(B461,Calc!$K$66:$L$76,2,FALSE)</f>
        <v>#N/A</v>
      </c>
      <c r="D461" s="81" t="e">
        <f ca="1">VLOOKUP(B461,Calc!$K$77:$L$87,2,FALSE)</f>
        <v>#N/A</v>
      </c>
      <c r="E461" s="523" t="e">
        <f ca="1">VLOOKUP(B461,Calc!$K$88:$L$98,2,FALSE)</f>
        <v>#N/A</v>
      </c>
      <c r="F461" s="523" t="e">
        <f ca="1">IF(Errorhandling!$C$42,INDEX(Calc!$J$99:$J$109,MATCH(Display!B461,Calc!$K$99:$K$109,0),1),#N/A)</f>
        <v>#N/A</v>
      </c>
    </row>
    <row r="462" spans="2:6" x14ac:dyDescent="0.2">
      <c r="B462" s="6">
        <f t="shared" si="11"/>
        <v>459</v>
      </c>
      <c r="C462" s="81" t="e">
        <f ca="1">VLOOKUP(B462,Calc!$K$66:$L$76,2,FALSE)</f>
        <v>#N/A</v>
      </c>
      <c r="D462" s="81" t="e">
        <f ca="1">VLOOKUP(B462,Calc!$K$77:$L$87,2,FALSE)</f>
        <v>#N/A</v>
      </c>
      <c r="E462" s="523" t="e">
        <f ca="1">VLOOKUP(B462,Calc!$K$88:$L$98,2,FALSE)</f>
        <v>#N/A</v>
      </c>
      <c r="F462" s="523" t="e">
        <f ca="1">IF(Errorhandling!$C$42,INDEX(Calc!$J$99:$J$109,MATCH(Display!B462,Calc!$K$99:$K$109,0),1),#N/A)</f>
        <v>#N/A</v>
      </c>
    </row>
    <row r="463" spans="2:6" x14ac:dyDescent="0.2">
      <c r="B463" s="6">
        <f t="shared" si="11"/>
        <v>460</v>
      </c>
      <c r="C463" s="81" t="e">
        <f ca="1">VLOOKUP(B463,Calc!$K$66:$L$76,2,FALSE)</f>
        <v>#N/A</v>
      </c>
      <c r="D463" s="81" t="e">
        <f ca="1">VLOOKUP(B463,Calc!$K$77:$L$87,2,FALSE)</f>
        <v>#N/A</v>
      </c>
      <c r="E463" s="523" t="e">
        <f ca="1">VLOOKUP(B463,Calc!$K$88:$L$98,2,FALSE)</f>
        <v>#N/A</v>
      </c>
      <c r="F463" s="523" t="e">
        <f ca="1">IF(Errorhandling!$C$42,INDEX(Calc!$J$99:$J$109,MATCH(Display!B463,Calc!$K$99:$K$109,0),1),#N/A)</f>
        <v>#N/A</v>
      </c>
    </row>
    <row r="464" spans="2:6" x14ac:dyDescent="0.2">
      <c r="B464" s="6">
        <f t="shared" si="11"/>
        <v>461</v>
      </c>
      <c r="C464" s="81" t="e">
        <f ca="1">VLOOKUP(B464,Calc!$K$66:$L$76,2,FALSE)</f>
        <v>#N/A</v>
      </c>
      <c r="D464" s="81" t="e">
        <f ca="1">VLOOKUP(B464,Calc!$K$77:$L$87,2,FALSE)</f>
        <v>#N/A</v>
      </c>
      <c r="E464" s="523" t="e">
        <f ca="1">VLOOKUP(B464,Calc!$K$88:$L$98,2,FALSE)</f>
        <v>#N/A</v>
      </c>
      <c r="F464" s="523" t="e">
        <f ca="1">IF(Errorhandling!$C$42,INDEX(Calc!$J$99:$J$109,MATCH(Display!B464,Calc!$K$99:$K$109,0),1),#N/A)</f>
        <v>#N/A</v>
      </c>
    </row>
    <row r="465" spans="2:6" x14ac:dyDescent="0.2">
      <c r="B465" s="6">
        <f t="shared" si="11"/>
        <v>462</v>
      </c>
      <c r="C465" s="81" t="e">
        <f ca="1">VLOOKUP(B465,Calc!$K$66:$L$76,2,FALSE)</f>
        <v>#N/A</v>
      </c>
      <c r="D465" s="81" t="e">
        <f ca="1">VLOOKUP(B465,Calc!$K$77:$L$87,2,FALSE)</f>
        <v>#N/A</v>
      </c>
      <c r="E465" s="523" t="e">
        <f ca="1">VLOOKUP(B465,Calc!$K$88:$L$98,2,FALSE)</f>
        <v>#N/A</v>
      </c>
      <c r="F465" s="523" t="e">
        <f ca="1">IF(Errorhandling!$C$42,INDEX(Calc!$J$99:$J$109,MATCH(Display!B465,Calc!$K$99:$K$109,0),1),#N/A)</f>
        <v>#N/A</v>
      </c>
    </row>
    <row r="466" spans="2:6" x14ac:dyDescent="0.2">
      <c r="B466" s="6">
        <f t="shared" si="11"/>
        <v>463</v>
      </c>
      <c r="C466" s="81" t="e">
        <f ca="1">VLOOKUP(B466,Calc!$K$66:$L$76,2,FALSE)</f>
        <v>#N/A</v>
      </c>
      <c r="D466" s="81" t="e">
        <f ca="1">VLOOKUP(B466,Calc!$K$77:$L$87,2,FALSE)</f>
        <v>#N/A</v>
      </c>
      <c r="E466" s="523" t="e">
        <f ca="1">VLOOKUP(B466,Calc!$K$88:$L$98,2,FALSE)</f>
        <v>#N/A</v>
      </c>
      <c r="F466" s="523" t="e">
        <f ca="1">IF(Errorhandling!$C$42,INDEX(Calc!$J$99:$J$109,MATCH(Display!B466,Calc!$K$99:$K$109,0),1),#N/A)</f>
        <v>#N/A</v>
      </c>
    </row>
    <row r="467" spans="2:6" x14ac:dyDescent="0.2">
      <c r="B467" s="6">
        <f t="shared" si="11"/>
        <v>464</v>
      </c>
      <c r="C467" s="81" t="e">
        <f ca="1">VLOOKUP(B467,Calc!$K$66:$L$76,2,FALSE)</f>
        <v>#N/A</v>
      </c>
      <c r="D467" s="81" t="e">
        <f ca="1">VLOOKUP(B467,Calc!$K$77:$L$87,2,FALSE)</f>
        <v>#N/A</v>
      </c>
      <c r="E467" s="523" t="e">
        <f ca="1">VLOOKUP(B467,Calc!$K$88:$L$98,2,FALSE)</f>
        <v>#N/A</v>
      </c>
      <c r="F467" s="523" t="e">
        <f ca="1">IF(Errorhandling!$C$42,INDEX(Calc!$J$99:$J$109,MATCH(Display!B467,Calc!$K$99:$K$109,0),1),#N/A)</f>
        <v>#N/A</v>
      </c>
    </row>
    <row r="468" spans="2:6" x14ac:dyDescent="0.2">
      <c r="B468" s="6">
        <f t="shared" si="11"/>
        <v>465</v>
      </c>
      <c r="C468" s="81" t="e">
        <f ca="1">VLOOKUP(B468,Calc!$K$66:$L$76,2,FALSE)</f>
        <v>#N/A</v>
      </c>
      <c r="D468" s="81" t="e">
        <f ca="1">VLOOKUP(B468,Calc!$K$77:$L$87,2,FALSE)</f>
        <v>#N/A</v>
      </c>
      <c r="E468" s="523" t="e">
        <f ca="1">VLOOKUP(B468,Calc!$K$88:$L$98,2,FALSE)</f>
        <v>#N/A</v>
      </c>
      <c r="F468" s="523" t="e">
        <f ca="1">IF(Errorhandling!$C$42,INDEX(Calc!$J$99:$J$109,MATCH(Display!B468,Calc!$K$99:$K$109,0),1),#N/A)</f>
        <v>#N/A</v>
      </c>
    </row>
    <row r="469" spans="2:6" x14ac:dyDescent="0.2">
      <c r="B469" s="6">
        <f t="shared" si="11"/>
        <v>466</v>
      </c>
      <c r="C469" s="81" t="e">
        <f ca="1">VLOOKUP(B469,Calc!$K$66:$L$76,2,FALSE)</f>
        <v>#N/A</v>
      </c>
      <c r="D469" s="81" t="e">
        <f ca="1">VLOOKUP(B469,Calc!$K$77:$L$87,2,FALSE)</f>
        <v>#N/A</v>
      </c>
      <c r="E469" s="523" t="e">
        <f ca="1">VLOOKUP(B469,Calc!$K$88:$L$98,2,FALSE)</f>
        <v>#N/A</v>
      </c>
      <c r="F469" s="523" t="e">
        <f ca="1">IF(Errorhandling!$C$42,INDEX(Calc!$J$99:$J$109,MATCH(Display!B469,Calc!$K$99:$K$109,0),1),#N/A)</f>
        <v>#N/A</v>
      </c>
    </row>
    <row r="470" spans="2:6" x14ac:dyDescent="0.2">
      <c r="B470" s="6">
        <f t="shared" si="11"/>
        <v>467</v>
      </c>
      <c r="C470" s="81" t="e">
        <f ca="1">VLOOKUP(B470,Calc!$K$66:$L$76,2,FALSE)</f>
        <v>#N/A</v>
      </c>
      <c r="D470" s="81" t="e">
        <f ca="1">VLOOKUP(B470,Calc!$K$77:$L$87,2,FALSE)</f>
        <v>#N/A</v>
      </c>
      <c r="E470" s="523" t="e">
        <f ca="1">VLOOKUP(B470,Calc!$K$88:$L$98,2,FALSE)</f>
        <v>#N/A</v>
      </c>
      <c r="F470" s="523" t="e">
        <f ca="1">IF(Errorhandling!$C$42,INDEX(Calc!$J$99:$J$109,MATCH(Display!B470,Calc!$K$99:$K$109,0),1),#N/A)</f>
        <v>#N/A</v>
      </c>
    </row>
    <row r="471" spans="2:6" x14ac:dyDescent="0.2">
      <c r="B471" s="6">
        <f t="shared" si="11"/>
        <v>468</v>
      </c>
      <c r="C471" s="81" t="e">
        <f ca="1">VLOOKUP(B471,Calc!$K$66:$L$76,2,FALSE)</f>
        <v>#N/A</v>
      </c>
      <c r="D471" s="81" t="e">
        <f ca="1">VLOOKUP(B471,Calc!$K$77:$L$87,2,FALSE)</f>
        <v>#N/A</v>
      </c>
      <c r="E471" s="523" t="e">
        <f ca="1">VLOOKUP(B471,Calc!$K$88:$L$98,2,FALSE)</f>
        <v>#N/A</v>
      </c>
      <c r="F471" s="523" t="e">
        <f ca="1">IF(Errorhandling!$C$42,INDEX(Calc!$J$99:$J$109,MATCH(Display!B471,Calc!$K$99:$K$109,0),1),#N/A)</f>
        <v>#N/A</v>
      </c>
    </row>
    <row r="472" spans="2:6" x14ac:dyDescent="0.2">
      <c r="B472" s="6">
        <f t="shared" si="11"/>
        <v>469</v>
      </c>
      <c r="C472" s="81" t="e">
        <f ca="1">VLOOKUP(B472,Calc!$K$66:$L$76,2,FALSE)</f>
        <v>#N/A</v>
      </c>
      <c r="D472" s="81" t="e">
        <f ca="1">VLOOKUP(B472,Calc!$K$77:$L$87,2,FALSE)</f>
        <v>#N/A</v>
      </c>
      <c r="E472" s="523" t="e">
        <f ca="1">VLOOKUP(B472,Calc!$K$88:$L$98,2,FALSE)</f>
        <v>#N/A</v>
      </c>
      <c r="F472" s="523" t="e">
        <f ca="1">IF(Errorhandling!$C$42,INDEX(Calc!$J$99:$J$109,MATCH(Display!B472,Calc!$K$99:$K$109,0),1),#N/A)</f>
        <v>#N/A</v>
      </c>
    </row>
    <row r="473" spans="2:6" x14ac:dyDescent="0.2">
      <c r="B473" s="6">
        <f t="shared" si="11"/>
        <v>470</v>
      </c>
      <c r="C473" s="81" t="e">
        <f ca="1">VLOOKUP(B473,Calc!$K$66:$L$76,2,FALSE)</f>
        <v>#N/A</v>
      </c>
      <c r="D473" s="81" t="e">
        <f ca="1">VLOOKUP(B473,Calc!$K$77:$L$87,2,FALSE)</f>
        <v>#N/A</v>
      </c>
      <c r="E473" s="523" t="e">
        <f ca="1">VLOOKUP(B473,Calc!$K$88:$L$98,2,FALSE)</f>
        <v>#N/A</v>
      </c>
      <c r="F473" s="523" t="e">
        <f ca="1">IF(Errorhandling!$C$42,INDEX(Calc!$J$99:$J$109,MATCH(Display!B473,Calc!$K$99:$K$109,0),1),#N/A)</f>
        <v>#N/A</v>
      </c>
    </row>
    <row r="474" spans="2:6" x14ac:dyDescent="0.2">
      <c r="B474" s="6">
        <f t="shared" si="11"/>
        <v>471</v>
      </c>
      <c r="C474" s="81" t="e">
        <f ca="1">VLOOKUP(B474,Calc!$K$66:$L$76,2,FALSE)</f>
        <v>#N/A</v>
      </c>
      <c r="D474" s="81" t="e">
        <f ca="1">VLOOKUP(B474,Calc!$K$77:$L$87,2,FALSE)</f>
        <v>#N/A</v>
      </c>
      <c r="E474" s="523" t="e">
        <f ca="1">VLOOKUP(B474,Calc!$K$88:$L$98,2,FALSE)</f>
        <v>#N/A</v>
      </c>
      <c r="F474" s="523" t="e">
        <f ca="1">IF(Errorhandling!$C$42,INDEX(Calc!$J$99:$J$109,MATCH(Display!B474,Calc!$K$99:$K$109,0),1),#N/A)</f>
        <v>#N/A</v>
      </c>
    </row>
    <row r="475" spans="2:6" x14ac:dyDescent="0.2">
      <c r="B475" s="6">
        <f t="shared" si="11"/>
        <v>472</v>
      </c>
      <c r="C475" s="81" t="e">
        <f ca="1">VLOOKUP(B475,Calc!$K$66:$L$76,2,FALSE)</f>
        <v>#N/A</v>
      </c>
      <c r="D475" s="81" t="e">
        <f ca="1">VLOOKUP(B475,Calc!$K$77:$L$87,2,FALSE)</f>
        <v>#N/A</v>
      </c>
      <c r="E475" s="523" t="e">
        <f ca="1">VLOOKUP(B475,Calc!$K$88:$L$98,2,FALSE)</f>
        <v>#N/A</v>
      </c>
      <c r="F475" s="523" t="e">
        <f ca="1">IF(Errorhandling!$C$42,INDEX(Calc!$J$99:$J$109,MATCH(Display!B475,Calc!$K$99:$K$109,0),1),#N/A)</f>
        <v>#N/A</v>
      </c>
    </row>
    <row r="476" spans="2:6" x14ac:dyDescent="0.2">
      <c r="B476" s="6">
        <f t="shared" si="11"/>
        <v>473</v>
      </c>
      <c r="C476" s="81" t="e">
        <f ca="1">VLOOKUP(B476,Calc!$K$66:$L$76,2,FALSE)</f>
        <v>#N/A</v>
      </c>
      <c r="D476" s="81" t="e">
        <f ca="1">VLOOKUP(B476,Calc!$K$77:$L$87,2,FALSE)</f>
        <v>#N/A</v>
      </c>
      <c r="E476" s="523" t="e">
        <f ca="1">VLOOKUP(B476,Calc!$K$88:$L$98,2,FALSE)</f>
        <v>#N/A</v>
      </c>
      <c r="F476" s="523" t="e">
        <f ca="1">IF(Errorhandling!$C$42,INDEX(Calc!$J$99:$J$109,MATCH(Display!B476,Calc!$K$99:$K$109,0),1),#N/A)</f>
        <v>#N/A</v>
      </c>
    </row>
    <row r="477" spans="2:6" x14ac:dyDescent="0.2">
      <c r="B477" s="6">
        <f t="shared" si="11"/>
        <v>474</v>
      </c>
      <c r="C477" s="81" t="e">
        <f ca="1">VLOOKUP(B477,Calc!$K$66:$L$76,2,FALSE)</f>
        <v>#N/A</v>
      </c>
      <c r="D477" s="81" t="e">
        <f ca="1">VLOOKUP(B477,Calc!$K$77:$L$87,2,FALSE)</f>
        <v>#N/A</v>
      </c>
      <c r="E477" s="523" t="e">
        <f ca="1">VLOOKUP(B477,Calc!$K$88:$L$98,2,FALSE)</f>
        <v>#N/A</v>
      </c>
      <c r="F477" s="523" t="e">
        <f ca="1">IF(Errorhandling!$C$42,INDEX(Calc!$J$99:$J$109,MATCH(Display!B477,Calc!$K$99:$K$109,0),1),#N/A)</f>
        <v>#N/A</v>
      </c>
    </row>
    <row r="478" spans="2:6" x14ac:dyDescent="0.2">
      <c r="B478" s="6">
        <f t="shared" si="11"/>
        <v>475</v>
      </c>
      <c r="C478" s="81" t="e">
        <f ca="1">VLOOKUP(B478,Calc!$K$66:$L$76,2,FALSE)</f>
        <v>#N/A</v>
      </c>
      <c r="D478" s="81" t="e">
        <f ca="1">VLOOKUP(B478,Calc!$K$77:$L$87,2,FALSE)</f>
        <v>#N/A</v>
      </c>
      <c r="E478" s="523" t="e">
        <f ca="1">VLOOKUP(B478,Calc!$K$88:$L$98,2,FALSE)</f>
        <v>#N/A</v>
      </c>
      <c r="F478" s="523" t="e">
        <f ca="1">IF(Errorhandling!$C$42,INDEX(Calc!$J$99:$J$109,MATCH(Display!B478,Calc!$K$99:$K$109,0),1),#N/A)</f>
        <v>#N/A</v>
      </c>
    </row>
    <row r="479" spans="2:6" x14ac:dyDescent="0.2">
      <c r="B479" s="6">
        <f t="shared" si="11"/>
        <v>476</v>
      </c>
      <c r="C479" s="81" t="e">
        <f ca="1">VLOOKUP(B479,Calc!$K$66:$L$76,2,FALSE)</f>
        <v>#N/A</v>
      </c>
      <c r="D479" s="81" t="e">
        <f ca="1">VLOOKUP(B479,Calc!$K$77:$L$87,2,FALSE)</f>
        <v>#N/A</v>
      </c>
      <c r="E479" s="523" t="e">
        <f ca="1">VLOOKUP(B479,Calc!$K$88:$L$98,2,FALSE)</f>
        <v>#N/A</v>
      </c>
      <c r="F479" s="523" t="e">
        <f ca="1">IF(Errorhandling!$C$42,INDEX(Calc!$J$99:$J$109,MATCH(Display!B479,Calc!$K$99:$K$109,0),1),#N/A)</f>
        <v>#N/A</v>
      </c>
    </row>
    <row r="480" spans="2:6" x14ac:dyDescent="0.2">
      <c r="B480" s="6">
        <f t="shared" si="11"/>
        <v>477</v>
      </c>
      <c r="C480" s="81" t="e">
        <f ca="1">VLOOKUP(B480,Calc!$K$66:$L$76,2,FALSE)</f>
        <v>#N/A</v>
      </c>
      <c r="D480" s="81" t="e">
        <f ca="1">VLOOKUP(B480,Calc!$K$77:$L$87,2,FALSE)</f>
        <v>#N/A</v>
      </c>
      <c r="E480" s="523" t="e">
        <f ca="1">VLOOKUP(B480,Calc!$K$88:$L$98,2,FALSE)</f>
        <v>#N/A</v>
      </c>
      <c r="F480" s="523" t="e">
        <f ca="1">IF(Errorhandling!$C$42,INDEX(Calc!$J$99:$J$109,MATCH(Display!B480,Calc!$K$99:$K$109,0),1),#N/A)</f>
        <v>#N/A</v>
      </c>
    </row>
    <row r="481" spans="2:6" x14ac:dyDescent="0.2">
      <c r="B481" s="6">
        <f t="shared" si="11"/>
        <v>478</v>
      </c>
      <c r="C481" s="81" t="e">
        <f ca="1">VLOOKUP(B481,Calc!$K$66:$L$76,2,FALSE)</f>
        <v>#N/A</v>
      </c>
      <c r="D481" s="81" t="e">
        <f ca="1">VLOOKUP(B481,Calc!$K$77:$L$87,2,FALSE)</f>
        <v>#N/A</v>
      </c>
      <c r="E481" s="523" t="e">
        <f ca="1">VLOOKUP(B481,Calc!$K$88:$L$98,2,FALSE)</f>
        <v>#N/A</v>
      </c>
      <c r="F481" s="523" t="e">
        <f ca="1">IF(Errorhandling!$C$42,INDEX(Calc!$J$99:$J$109,MATCH(Display!B481,Calc!$K$99:$K$109,0),1),#N/A)</f>
        <v>#N/A</v>
      </c>
    </row>
    <row r="482" spans="2:6" x14ac:dyDescent="0.2">
      <c r="B482" s="6">
        <f t="shared" si="11"/>
        <v>479</v>
      </c>
      <c r="C482" s="81" t="e">
        <f ca="1">VLOOKUP(B482,Calc!$K$66:$L$76,2,FALSE)</f>
        <v>#N/A</v>
      </c>
      <c r="D482" s="81" t="e">
        <f ca="1">VLOOKUP(B482,Calc!$K$77:$L$87,2,FALSE)</f>
        <v>#N/A</v>
      </c>
      <c r="E482" s="523" t="e">
        <f ca="1">VLOOKUP(B482,Calc!$K$88:$L$98,2,FALSE)</f>
        <v>#N/A</v>
      </c>
      <c r="F482" s="523" t="e">
        <f ca="1">IF(Errorhandling!$C$42,INDEX(Calc!$J$99:$J$109,MATCH(Display!B482,Calc!$K$99:$K$109,0),1),#N/A)</f>
        <v>#N/A</v>
      </c>
    </row>
    <row r="483" spans="2:6" x14ac:dyDescent="0.2">
      <c r="B483" s="6">
        <f t="shared" si="11"/>
        <v>480</v>
      </c>
      <c r="C483" s="81" t="e">
        <f ca="1">VLOOKUP(B483,Calc!$K$66:$L$76,2,FALSE)</f>
        <v>#N/A</v>
      </c>
      <c r="D483" s="81" t="e">
        <f ca="1">VLOOKUP(B483,Calc!$K$77:$L$87,2,FALSE)</f>
        <v>#N/A</v>
      </c>
      <c r="E483" s="523" t="e">
        <f ca="1">VLOOKUP(B483,Calc!$K$88:$L$98,2,FALSE)</f>
        <v>#N/A</v>
      </c>
      <c r="F483" s="523" t="e">
        <f ca="1">IF(Errorhandling!$C$42,INDEX(Calc!$J$99:$J$109,MATCH(Display!B483,Calc!$K$99:$K$109,0),1),#N/A)</f>
        <v>#N/A</v>
      </c>
    </row>
    <row r="484" spans="2:6" x14ac:dyDescent="0.2">
      <c r="B484" s="6">
        <f t="shared" si="11"/>
        <v>481</v>
      </c>
      <c r="C484" s="81" t="e">
        <f ca="1">VLOOKUP(B484,Calc!$K$66:$L$76,2,FALSE)</f>
        <v>#N/A</v>
      </c>
      <c r="D484" s="81" t="e">
        <f ca="1">VLOOKUP(B484,Calc!$K$77:$L$87,2,FALSE)</f>
        <v>#N/A</v>
      </c>
      <c r="E484" s="523" t="e">
        <f ca="1">VLOOKUP(B484,Calc!$K$88:$L$98,2,FALSE)</f>
        <v>#N/A</v>
      </c>
      <c r="F484" s="523" t="e">
        <f ca="1">IF(Errorhandling!$C$42,INDEX(Calc!$J$99:$J$109,MATCH(Display!B484,Calc!$K$99:$K$109,0),1),#N/A)</f>
        <v>#N/A</v>
      </c>
    </row>
    <row r="485" spans="2:6" x14ac:dyDescent="0.2">
      <c r="B485" s="6">
        <f t="shared" si="11"/>
        <v>482</v>
      </c>
      <c r="C485" s="81" t="e">
        <f ca="1">VLOOKUP(B485,Calc!$K$66:$L$76,2,FALSE)</f>
        <v>#N/A</v>
      </c>
      <c r="D485" s="81" t="e">
        <f ca="1">VLOOKUP(B485,Calc!$K$77:$L$87,2,FALSE)</f>
        <v>#N/A</v>
      </c>
      <c r="E485" s="523" t="e">
        <f ca="1">VLOOKUP(B485,Calc!$K$88:$L$98,2,FALSE)</f>
        <v>#N/A</v>
      </c>
      <c r="F485" s="523" t="e">
        <f ca="1">IF(Errorhandling!$C$42,INDEX(Calc!$J$99:$J$109,MATCH(Display!B485,Calc!$K$99:$K$109,0),1),#N/A)</f>
        <v>#N/A</v>
      </c>
    </row>
    <row r="486" spans="2:6" x14ac:dyDescent="0.2">
      <c r="B486" s="6">
        <f t="shared" si="11"/>
        <v>483</v>
      </c>
      <c r="C486" s="81" t="e">
        <f ca="1">VLOOKUP(B486,Calc!$K$66:$L$76,2,FALSE)</f>
        <v>#N/A</v>
      </c>
      <c r="D486" s="81" t="e">
        <f ca="1">VLOOKUP(B486,Calc!$K$77:$L$87,2,FALSE)</f>
        <v>#N/A</v>
      </c>
      <c r="E486" s="523" t="e">
        <f ca="1">VLOOKUP(B486,Calc!$K$88:$L$98,2,FALSE)</f>
        <v>#N/A</v>
      </c>
      <c r="F486" s="523" t="e">
        <f ca="1">IF(Errorhandling!$C$42,INDEX(Calc!$J$99:$J$109,MATCH(Display!B486,Calc!$K$99:$K$109,0),1),#N/A)</f>
        <v>#N/A</v>
      </c>
    </row>
    <row r="487" spans="2:6" x14ac:dyDescent="0.2">
      <c r="B487" s="6">
        <f t="shared" si="11"/>
        <v>484</v>
      </c>
      <c r="C487" s="81" t="e">
        <f ca="1">VLOOKUP(B487,Calc!$K$66:$L$76,2,FALSE)</f>
        <v>#N/A</v>
      </c>
      <c r="D487" s="81" t="e">
        <f ca="1">VLOOKUP(B487,Calc!$K$77:$L$87,2,FALSE)</f>
        <v>#N/A</v>
      </c>
      <c r="E487" s="523" t="e">
        <f ca="1">VLOOKUP(B487,Calc!$K$88:$L$98,2,FALSE)</f>
        <v>#N/A</v>
      </c>
      <c r="F487" s="523" t="e">
        <f ca="1">IF(Errorhandling!$C$42,INDEX(Calc!$J$99:$J$109,MATCH(Display!B487,Calc!$K$99:$K$109,0),1),#N/A)</f>
        <v>#N/A</v>
      </c>
    </row>
    <row r="488" spans="2:6" x14ac:dyDescent="0.2">
      <c r="B488" s="6">
        <f t="shared" si="11"/>
        <v>485</v>
      </c>
      <c r="C488" s="81" t="e">
        <f ca="1">VLOOKUP(B488,Calc!$K$66:$L$76,2,FALSE)</f>
        <v>#N/A</v>
      </c>
      <c r="D488" s="81" t="e">
        <f ca="1">VLOOKUP(B488,Calc!$K$77:$L$87,2,FALSE)</f>
        <v>#N/A</v>
      </c>
      <c r="E488" s="523" t="e">
        <f ca="1">VLOOKUP(B488,Calc!$K$88:$L$98,2,FALSE)</f>
        <v>#N/A</v>
      </c>
      <c r="F488" s="523" t="e">
        <f ca="1">IF(Errorhandling!$C$42,INDEX(Calc!$J$99:$J$109,MATCH(Display!B488,Calc!$K$99:$K$109,0),1),#N/A)</f>
        <v>#N/A</v>
      </c>
    </row>
    <row r="489" spans="2:6" x14ac:dyDescent="0.2">
      <c r="B489" s="6">
        <f t="shared" si="11"/>
        <v>486</v>
      </c>
      <c r="C489" s="81" t="e">
        <f ca="1">VLOOKUP(B489,Calc!$K$66:$L$76,2,FALSE)</f>
        <v>#N/A</v>
      </c>
      <c r="D489" s="81" t="e">
        <f ca="1">VLOOKUP(B489,Calc!$K$77:$L$87,2,FALSE)</f>
        <v>#N/A</v>
      </c>
      <c r="E489" s="523" t="e">
        <f ca="1">VLOOKUP(B489,Calc!$K$88:$L$98,2,FALSE)</f>
        <v>#N/A</v>
      </c>
      <c r="F489" s="523" t="e">
        <f ca="1">IF(Errorhandling!$C$42,INDEX(Calc!$J$99:$J$109,MATCH(Display!B489,Calc!$K$99:$K$109,0),1),#N/A)</f>
        <v>#N/A</v>
      </c>
    </row>
    <row r="490" spans="2:6" x14ac:dyDescent="0.2">
      <c r="B490" s="6">
        <f t="shared" si="11"/>
        <v>487</v>
      </c>
      <c r="C490" s="81" t="e">
        <f ca="1">VLOOKUP(B490,Calc!$K$66:$L$76,2,FALSE)</f>
        <v>#N/A</v>
      </c>
      <c r="D490" s="81" t="e">
        <f ca="1">VLOOKUP(B490,Calc!$K$77:$L$87,2,FALSE)</f>
        <v>#N/A</v>
      </c>
      <c r="E490" s="523" t="e">
        <f ca="1">VLOOKUP(B490,Calc!$K$88:$L$98,2,FALSE)</f>
        <v>#N/A</v>
      </c>
      <c r="F490" s="523" t="e">
        <f ca="1">IF(Errorhandling!$C$42,INDEX(Calc!$J$99:$J$109,MATCH(Display!B490,Calc!$K$99:$K$109,0),1),#N/A)</f>
        <v>#N/A</v>
      </c>
    </row>
    <row r="491" spans="2:6" x14ac:dyDescent="0.2">
      <c r="B491" s="6">
        <f t="shared" si="11"/>
        <v>488</v>
      </c>
      <c r="C491" s="81" t="e">
        <f ca="1">VLOOKUP(B491,Calc!$K$66:$L$76,2,FALSE)</f>
        <v>#N/A</v>
      </c>
      <c r="D491" s="81" t="e">
        <f ca="1">VLOOKUP(B491,Calc!$K$77:$L$87,2,FALSE)</f>
        <v>#N/A</v>
      </c>
      <c r="E491" s="523" t="e">
        <f ca="1">VLOOKUP(B491,Calc!$K$88:$L$98,2,FALSE)</f>
        <v>#N/A</v>
      </c>
      <c r="F491" s="523" t="e">
        <f ca="1">IF(Errorhandling!$C$42,INDEX(Calc!$J$99:$J$109,MATCH(Display!B491,Calc!$K$99:$K$109,0),1),#N/A)</f>
        <v>#N/A</v>
      </c>
    </row>
    <row r="492" spans="2:6" x14ac:dyDescent="0.2">
      <c r="B492" s="6">
        <f t="shared" si="11"/>
        <v>489</v>
      </c>
      <c r="C492" s="81" t="e">
        <f ca="1">VLOOKUP(B492,Calc!$K$66:$L$76,2,FALSE)</f>
        <v>#N/A</v>
      </c>
      <c r="D492" s="81" t="e">
        <f ca="1">VLOOKUP(B492,Calc!$K$77:$L$87,2,FALSE)</f>
        <v>#N/A</v>
      </c>
      <c r="E492" s="523" t="e">
        <f ca="1">VLOOKUP(B492,Calc!$K$88:$L$98,2,FALSE)</f>
        <v>#N/A</v>
      </c>
      <c r="F492" s="523" t="e">
        <f ca="1">IF(Errorhandling!$C$42,INDEX(Calc!$J$99:$J$109,MATCH(Display!B492,Calc!$K$99:$K$109,0),1),#N/A)</f>
        <v>#N/A</v>
      </c>
    </row>
    <row r="493" spans="2:6" x14ac:dyDescent="0.2">
      <c r="B493" s="6">
        <f t="shared" si="11"/>
        <v>490</v>
      </c>
      <c r="C493" s="81" t="e">
        <f ca="1">VLOOKUP(B493,Calc!$K$66:$L$76,2,FALSE)</f>
        <v>#N/A</v>
      </c>
      <c r="D493" s="81" t="e">
        <f ca="1">VLOOKUP(B493,Calc!$K$77:$L$87,2,FALSE)</f>
        <v>#N/A</v>
      </c>
      <c r="E493" s="523" t="e">
        <f ca="1">VLOOKUP(B493,Calc!$K$88:$L$98,2,FALSE)</f>
        <v>#N/A</v>
      </c>
      <c r="F493" s="523" t="e">
        <f ca="1">IF(Errorhandling!$C$42,INDEX(Calc!$J$99:$J$109,MATCH(Display!B493,Calc!$K$99:$K$109,0),1),#N/A)</f>
        <v>#N/A</v>
      </c>
    </row>
    <row r="494" spans="2:6" x14ac:dyDescent="0.2">
      <c r="B494" s="6">
        <f t="shared" si="11"/>
        <v>491</v>
      </c>
      <c r="C494" s="81" t="e">
        <f ca="1">VLOOKUP(B494,Calc!$K$66:$L$76,2,FALSE)</f>
        <v>#N/A</v>
      </c>
      <c r="D494" s="81" t="e">
        <f ca="1">VLOOKUP(B494,Calc!$K$77:$L$87,2,FALSE)</f>
        <v>#N/A</v>
      </c>
      <c r="E494" s="523" t="e">
        <f ca="1">VLOOKUP(B494,Calc!$K$88:$L$98,2,FALSE)</f>
        <v>#N/A</v>
      </c>
      <c r="F494" s="523" t="e">
        <f ca="1">IF(Errorhandling!$C$42,INDEX(Calc!$J$99:$J$109,MATCH(Display!B494,Calc!$K$99:$K$109,0),1),#N/A)</f>
        <v>#N/A</v>
      </c>
    </row>
    <row r="495" spans="2:6" x14ac:dyDescent="0.2">
      <c r="B495" s="6">
        <f t="shared" si="11"/>
        <v>492</v>
      </c>
      <c r="C495" s="81" t="e">
        <f ca="1">VLOOKUP(B495,Calc!$K$66:$L$76,2,FALSE)</f>
        <v>#N/A</v>
      </c>
      <c r="D495" s="81" t="e">
        <f ca="1">VLOOKUP(B495,Calc!$K$77:$L$87,2,FALSE)</f>
        <v>#N/A</v>
      </c>
      <c r="E495" s="523" t="e">
        <f ca="1">VLOOKUP(B495,Calc!$K$88:$L$98,2,FALSE)</f>
        <v>#N/A</v>
      </c>
      <c r="F495" s="523" t="e">
        <f ca="1">IF(Errorhandling!$C$42,INDEX(Calc!$J$99:$J$109,MATCH(Display!B495,Calc!$K$99:$K$109,0),1),#N/A)</f>
        <v>#N/A</v>
      </c>
    </row>
    <row r="496" spans="2:6" x14ac:dyDescent="0.2">
      <c r="B496" s="6">
        <f t="shared" si="11"/>
        <v>493</v>
      </c>
      <c r="C496" s="81" t="e">
        <f ca="1">VLOOKUP(B496,Calc!$K$66:$L$76,2,FALSE)</f>
        <v>#N/A</v>
      </c>
      <c r="D496" s="81" t="e">
        <f ca="1">VLOOKUP(B496,Calc!$K$77:$L$87,2,FALSE)</f>
        <v>#N/A</v>
      </c>
      <c r="E496" s="523" t="e">
        <f ca="1">VLOOKUP(B496,Calc!$K$88:$L$98,2,FALSE)</f>
        <v>#N/A</v>
      </c>
      <c r="F496" s="523" t="e">
        <f ca="1">IF(Errorhandling!$C$42,INDEX(Calc!$J$99:$J$109,MATCH(Display!B496,Calc!$K$99:$K$109,0),1),#N/A)</f>
        <v>#N/A</v>
      </c>
    </row>
    <row r="497" spans="2:6" x14ac:dyDescent="0.2">
      <c r="B497" s="6">
        <f t="shared" si="11"/>
        <v>494</v>
      </c>
      <c r="C497" s="81" t="e">
        <f ca="1">VLOOKUP(B497,Calc!$K$66:$L$76,2,FALSE)</f>
        <v>#N/A</v>
      </c>
      <c r="D497" s="81" t="e">
        <f ca="1">VLOOKUP(B497,Calc!$K$77:$L$87,2,FALSE)</f>
        <v>#N/A</v>
      </c>
      <c r="E497" s="523" t="e">
        <f ca="1">VLOOKUP(B497,Calc!$K$88:$L$98,2,FALSE)</f>
        <v>#N/A</v>
      </c>
      <c r="F497" s="523" t="e">
        <f ca="1">IF(Errorhandling!$C$42,INDEX(Calc!$J$99:$J$109,MATCH(Display!B497,Calc!$K$99:$K$109,0),1),#N/A)</f>
        <v>#N/A</v>
      </c>
    </row>
    <row r="498" spans="2:6" x14ac:dyDescent="0.2">
      <c r="B498" s="6">
        <f t="shared" si="11"/>
        <v>495</v>
      </c>
      <c r="C498" s="81" t="e">
        <f ca="1">VLOOKUP(B498,Calc!$K$66:$L$76,2,FALSE)</f>
        <v>#N/A</v>
      </c>
      <c r="D498" s="81" t="e">
        <f ca="1">VLOOKUP(B498,Calc!$K$77:$L$87,2,FALSE)</f>
        <v>#N/A</v>
      </c>
      <c r="E498" s="523" t="e">
        <f ca="1">VLOOKUP(B498,Calc!$K$88:$L$98,2,FALSE)</f>
        <v>#N/A</v>
      </c>
      <c r="F498" s="523" t="e">
        <f ca="1">IF(Errorhandling!$C$42,INDEX(Calc!$J$99:$J$109,MATCH(Display!B498,Calc!$K$99:$K$109,0),1),#N/A)</f>
        <v>#N/A</v>
      </c>
    </row>
    <row r="499" spans="2:6" x14ac:dyDescent="0.2">
      <c r="B499" s="6">
        <f t="shared" si="11"/>
        <v>496</v>
      </c>
      <c r="C499" s="81" t="e">
        <f ca="1">VLOOKUP(B499,Calc!$K$66:$L$76,2,FALSE)</f>
        <v>#N/A</v>
      </c>
      <c r="D499" s="81" t="e">
        <f ca="1">VLOOKUP(B499,Calc!$K$77:$L$87,2,FALSE)</f>
        <v>#N/A</v>
      </c>
      <c r="E499" s="523" t="e">
        <f ca="1">VLOOKUP(B499,Calc!$K$88:$L$98,2,FALSE)</f>
        <v>#N/A</v>
      </c>
      <c r="F499" s="523" t="e">
        <f ca="1">IF(Errorhandling!$C$42,INDEX(Calc!$J$99:$J$109,MATCH(Display!B499,Calc!$K$99:$K$109,0),1),#N/A)</f>
        <v>#N/A</v>
      </c>
    </row>
    <row r="500" spans="2:6" x14ac:dyDescent="0.2">
      <c r="B500" s="6">
        <f t="shared" si="11"/>
        <v>497</v>
      </c>
      <c r="C500" s="81" t="e">
        <f ca="1">VLOOKUP(B500,Calc!$K$66:$L$76,2,FALSE)</f>
        <v>#N/A</v>
      </c>
      <c r="D500" s="81" t="e">
        <f ca="1">VLOOKUP(B500,Calc!$K$77:$L$87,2,FALSE)</f>
        <v>#N/A</v>
      </c>
      <c r="E500" s="523" t="e">
        <f ca="1">VLOOKUP(B500,Calc!$K$88:$L$98,2,FALSE)</f>
        <v>#N/A</v>
      </c>
      <c r="F500" s="523" t="e">
        <f ca="1">IF(Errorhandling!$C$42,INDEX(Calc!$J$99:$J$109,MATCH(Display!B500,Calc!$K$99:$K$109,0),1),#N/A)</f>
        <v>#N/A</v>
      </c>
    </row>
    <row r="501" spans="2:6" x14ac:dyDescent="0.2">
      <c r="B501" s="6">
        <f t="shared" si="11"/>
        <v>498</v>
      </c>
      <c r="C501" s="81" t="e">
        <f ca="1">VLOOKUP(B501,Calc!$K$66:$L$76,2,FALSE)</f>
        <v>#N/A</v>
      </c>
      <c r="D501" s="81" t="e">
        <f ca="1">VLOOKUP(B501,Calc!$K$77:$L$87,2,FALSE)</f>
        <v>#N/A</v>
      </c>
      <c r="E501" s="523" t="e">
        <f ca="1">VLOOKUP(B501,Calc!$K$88:$L$98,2,FALSE)</f>
        <v>#N/A</v>
      </c>
      <c r="F501" s="523" t="e">
        <f ca="1">IF(Errorhandling!$C$42,INDEX(Calc!$J$99:$J$109,MATCH(Display!B501,Calc!$K$99:$K$109,0),1),#N/A)</f>
        <v>#N/A</v>
      </c>
    </row>
    <row r="502" spans="2:6" x14ac:dyDescent="0.2">
      <c r="B502" s="6">
        <f t="shared" si="11"/>
        <v>499</v>
      </c>
      <c r="C502" s="81" t="e">
        <f ca="1">VLOOKUP(B502,Calc!$K$66:$L$76,2,FALSE)</f>
        <v>#N/A</v>
      </c>
      <c r="D502" s="81" t="e">
        <f ca="1">VLOOKUP(B502,Calc!$K$77:$L$87,2,FALSE)</f>
        <v>#N/A</v>
      </c>
      <c r="E502" s="523" t="e">
        <f ca="1">VLOOKUP(B502,Calc!$K$88:$L$98,2,FALSE)</f>
        <v>#N/A</v>
      </c>
      <c r="F502" s="523" t="e">
        <f ca="1">IF(Errorhandling!$C$42,INDEX(Calc!$J$99:$J$109,MATCH(Display!B502,Calc!$K$99:$K$109,0),1),#N/A)</f>
        <v>#N/A</v>
      </c>
    </row>
    <row r="503" spans="2:6" x14ac:dyDescent="0.2">
      <c r="B503" s="6">
        <f t="shared" si="11"/>
        <v>500</v>
      </c>
      <c r="C503" s="81" t="e">
        <f ca="1">VLOOKUP(B503,Calc!$K$66:$L$76,2,FALSE)</f>
        <v>#N/A</v>
      </c>
      <c r="D503" s="81" t="e">
        <f ca="1">VLOOKUP(B503,Calc!$K$77:$L$87,2,FALSE)</f>
        <v>#N/A</v>
      </c>
      <c r="E503" s="523" t="e">
        <f ca="1">VLOOKUP(B503,Calc!$K$88:$L$98,2,FALSE)</f>
        <v>#N/A</v>
      </c>
      <c r="F503" s="523" t="e">
        <f ca="1">IF(Errorhandling!$C$42,INDEX(Calc!$J$99:$J$109,MATCH(Display!B503,Calc!$K$99:$K$109,0),1),#N/A)</f>
        <v>#N/A</v>
      </c>
    </row>
    <row r="504" spans="2:6" x14ac:dyDescent="0.2">
      <c r="B504" s="6">
        <f t="shared" si="11"/>
        <v>501</v>
      </c>
      <c r="C504" s="81" t="e">
        <f ca="1">VLOOKUP(B504,Calc!$K$66:$L$76,2,FALSE)</f>
        <v>#N/A</v>
      </c>
      <c r="D504" s="81" t="e">
        <f ca="1">VLOOKUP(B504,Calc!$K$77:$L$87,2,FALSE)</f>
        <v>#N/A</v>
      </c>
      <c r="E504" s="523" t="e">
        <f ca="1">VLOOKUP(B504,Calc!$K$88:$L$98,2,FALSE)</f>
        <v>#N/A</v>
      </c>
      <c r="F504" s="523" t="e">
        <f ca="1">IF(Errorhandling!$C$42,INDEX(Calc!$J$99:$J$109,MATCH(Display!B504,Calc!$K$99:$K$109,0),1),#N/A)</f>
        <v>#N/A</v>
      </c>
    </row>
    <row r="505" spans="2:6" x14ac:dyDescent="0.2">
      <c r="B505" s="6">
        <f t="shared" si="11"/>
        <v>502</v>
      </c>
      <c r="C505" s="81" t="e">
        <f ca="1">VLOOKUP(B505,Calc!$K$66:$L$76,2,FALSE)</f>
        <v>#N/A</v>
      </c>
      <c r="D505" s="81" t="e">
        <f ca="1">VLOOKUP(B505,Calc!$K$77:$L$87,2,FALSE)</f>
        <v>#N/A</v>
      </c>
      <c r="E505" s="523" t="e">
        <f ca="1">VLOOKUP(B505,Calc!$K$88:$L$98,2,FALSE)</f>
        <v>#N/A</v>
      </c>
      <c r="F505" s="523" t="e">
        <f ca="1">IF(Errorhandling!$C$42,INDEX(Calc!$J$99:$J$109,MATCH(Display!B505,Calc!$K$99:$K$109,0),1),#N/A)</f>
        <v>#N/A</v>
      </c>
    </row>
    <row r="506" spans="2:6" x14ac:dyDescent="0.2">
      <c r="B506" s="6">
        <f t="shared" si="11"/>
        <v>503</v>
      </c>
      <c r="C506" s="81" t="e">
        <f ca="1">VLOOKUP(B506,Calc!$K$66:$L$76,2,FALSE)</f>
        <v>#N/A</v>
      </c>
      <c r="D506" s="81" t="e">
        <f ca="1">VLOOKUP(B506,Calc!$K$77:$L$87,2,FALSE)</f>
        <v>#N/A</v>
      </c>
      <c r="E506" s="523" t="e">
        <f ca="1">VLOOKUP(B506,Calc!$K$88:$L$98,2,FALSE)</f>
        <v>#N/A</v>
      </c>
      <c r="F506" s="523" t="e">
        <f ca="1">IF(Errorhandling!$C$42,INDEX(Calc!$J$99:$J$109,MATCH(Display!B506,Calc!$K$99:$K$109,0),1),#N/A)</f>
        <v>#N/A</v>
      </c>
    </row>
    <row r="507" spans="2:6" x14ac:dyDescent="0.2">
      <c r="B507" s="6">
        <f t="shared" si="11"/>
        <v>504</v>
      </c>
      <c r="C507" s="81" t="e">
        <f ca="1">VLOOKUP(B507,Calc!$K$66:$L$76,2,FALSE)</f>
        <v>#N/A</v>
      </c>
      <c r="D507" s="81" t="e">
        <f ca="1">VLOOKUP(B507,Calc!$K$77:$L$87,2,FALSE)</f>
        <v>#N/A</v>
      </c>
      <c r="E507" s="523" t="e">
        <f ca="1">VLOOKUP(B507,Calc!$K$88:$L$98,2,FALSE)</f>
        <v>#N/A</v>
      </c>
      <c r="F507" s="523" t="e">
        <f ca="1">IF(Errorhandling!$C$42,INDEX(Calc!$J$99:$J$109,MATCH(Display!B507,Calc!$K$99:$K$109,0),1),#N/A)</f>
        <v>#N/A</v>
      </c>
    </row>
    <row r="508" spans="2:6" x14ac:dyDescent="0.2">
      <c r="B508" s="6">
        <f t="shared" si="11"/>
        <v>505</v>
      </c>
      <c r="C508" s="81" t="e">
        <f ca="1">VLOOKUP(B508,Calc!$K$66:$L$76,2,FALSE)</f>
        <v>#N/A</v>
      </c>
      <c r="D508" s="81" t="e">
        <f ca="1">VLOOKUP(B508,Calc!$K$77:$L$87,2,FALSE)</f>
        <v>#N/A</v>
      </c>
      <c r="E508" s="523" t="e">
        <f ca="1">VLOOKUP(B508,Calc!$K$88:$L$98,2,FALSE)</f>
        <v>#N/A</v>
      </c>
      <c r="F508" s="523" t="e">
        <f ca="1">IF(Errorhandling!$C$42,INDEX(Calc!$J$99:$J$109,MATCH(Display!B508,Calc!$K$99:$K$109,0),1),#N/A)</f>
        <v>#N/A</v>
      </c>
    </row>
    <row r="509" spans="2:6" x14ac:dyDescent="0.2">
      <c r="B509" s="6">
        <f t="shared" si="11"/>
        <v>506</v>
      </c>
      <c r="C509" s="81" t="e">
        <f ca="1">VLOOKUP(B509,Calc!$K$66:$L$76,2,FALSE)</f>
        <v>#N/A</v>
      </c>
      <c r="D509" s="81" t="e">
        <f ca="1">VLOOKUP(B509,Calc!$K$77:$L$87,2,FALSE)</f>
        <v>#N/A</v>
      </c>
      <c r="E509" s="523" t="e">
        <f ca="1">VLOOKUP(B509,Calc!$K$88:$L$98,2,FALSE)</f>
        <v>#N/A</v>
      </c>
      <c r="F509" s="523" t="e">
        <f ca="1">IF(Errorhandling!$C$42,INDEX(Calc!$J$99:$J$109,MATCH(Display!B509,Calc!$K$99:$K$109,0),1),#N/A)</f>
        <v>#N/A</v>
      </c>
    </row>
    <row r="510" spans="2:6" x14ac:dyDescent="0.2">
      <c r="B510" s="6">
        <f t="shared" si="11"/>
        <v>507</v>
      </c>
      <c r="C510" s="81" t="e">
        <f ca="1">VLOOKUP(B510,Calc!$K$66:$L$76,2,FALSE)</f>
        <v>#N/A</v>
      </c>
      <c r="D510" s="81" t="e">
        <f ca="1">VLOOKUP(B510,Calc!$K$77:$L$87,2,FALSE)</f>
        <v>#N/A</v>
      </c>
      <c r="E510" s="523" t="e">
        <f ca="1">VLOOKUP(B510,Calc!$K$88:$L$98,2,FALSE)</f>
        <v>#N/A</v>
      </c>
      <c r="F510" s="523" t="e">
        <f ca="1">IF(Errorhandling!$C$42,INDEX(Calc!$J$99:$J$109,MATCH(Display!B510,Calc!$K$99:$K$109,0),1),#N/A)</f>
        <v>#N/A</v>
      </c>
    </row>
    <row r="511" spans="2:6" x14ac:dyDescent="0.2">
      <c r="B511" s="6">
        <f t="shared" si="11"/>
        <v>508</v>
      </c>
      <c r="C511" s="81" t="e">
        <f ca="1">VLOOKUP(B511,Calc!$K$66:$L$76,2,FALSE)</f>
        <v>#N/A</v>
      </c>
      <c r="D511" s="81" t="e">
        <f ca="1">VLOOKUP(B511,Calc!$K$77:$L$87,2,FALSE)</f>
        <v>#N/A</v>
      </c>
      <c r="E511" s="523" t="e">
        <f ca="1">VLOOKUP(B511,Calc!$K$88:$L$98,2,FALSE)</f>
        <v>#N/A</v>
      </c>
      <c r="F511" s="523" t="e">
        <f ca="1">IF(Errorhandling!$C$42,INDEX(Calc!$J$99:$J$109,MATCH(Display!B511,Calc!$K$99:$K$109,0),1),#N/A)</f>
        <v>#N/A</v>
      </c>
    </row>
    <row r="512" spans="2:6" x14ac:dyDescent="0.2">
      <c r="B512" s="6">
        <f t="shared" si="11"/>
        <v>509</v>
      </c>
      <c r="C512" s="81" t="e">
        <f ca="1">VLOOKUP(B512,Calc!$K$66:$L$76,2,FALSE)</f>
        <v>#N/A</v>
      </c>
      <c r="D512" s="81" t="e">
        <f ca="1">VLOOKUP(B512,Calc!$K$77:$L$87,2,FALSE)</f>
        <v>#N/A</v>
      </c>
      <c r="E512" s="523" t="e">
        <f ca="1">VLOOKUP(B512,Calc!$K$88:$L$98,2,FALSE)</f>
        <v>#N/A</v>
      </c>
      <c r="F512" s="523" t="e">
        <f ca="1">IF(Errorhandling!$C$42,INDEX(Calc!$J$99:$J$109,MATCH(Display!B512,Calc!$K$99:$K$109,0),1),#N/A)</f>
        <v>#N/A</v>
      </c>
    </row>
    <row r="513" spans="2:6" x14ac:dyDescent="0.2">
      <c r="B513" s="6">
        <f t="shared" si="11"/>
        <v>510</v>
      </c>
      <c r="C513" s="81" t="e">
        <f ca="1">VLOOKUP(B513,Calc!$K$66:$L$76,2,FALSE)</f>
        <v>#N/A</v>
      </c>
      <c r="D513" s="81" t="e">
        <f ca="1">VLOOKUP(B513,Calc!$K$77:$L$87,2,FALSE)</f>
        <v>#N/A</v>
      </c>
      <c r="E513" s="523" t="e">
        <f ca="1">VLOOKUP(B513,Calc!$K$88:$L$98,2,FALSE)</f>
        <v>#N/A</v>
      </c>
      <c r="F513" s="523" t="e">
        <f ca="1">IF(Errorhandling!$C$42,INDEX(Calc!$J$99:$J$109,MATCH(Display!B513,Calc!$K$99:$K$109,0),1),#N/A)</f>
        <v>#N/A</v>
      </c>
    </row>
    <row r="514" spans="2:6" x14ac:dyDescent="0.2">
      <c r="B514" s="6">
        <f t="shared" si="11"/>
        <v>511</v>
      </c>
      <c r="C514" s="81" t="e">
        <f ca="1">VLOOKUP(B514,Calc!$K$66:$L$76,2,FALSE)</f>
        <v>#N/A</v>
      </c>
      <c r="D514" s="81" t="e">
        <f ca="1">VLOOKUP(B514,Calc!$K$77:$L$87,2,FALSE)</f>
        <v>#N/A</v>
      </c>
      <c r="E514" s="523" t="e">
        <f ca="1">VLOOKUP(B514,Calc!$K$88:$L$98,2,FALSE)</f>
        <v>#N/A</v>
      </c>
      <c r="F514" s="523" t="e">
        <f ca="1">IF(Errorhandling!$C$42,INDEX(Calc!$J$99:$J$109,MATCH(Display!B514,Calc!$K$99:$K$109,0),1),#N/A)</f>
        <v>#N/A</v>
      </c>
    </row>
    <row r="515" spans="2:6" x14ac:dyDescent="0.2">
      <c r="B515" s="6">
        <f t="shared" si="11"/>
        <v>512</v>
      </c>
      <c r="C515" s="81" t="e">
        <f ca="1">VLOOKUP(B515,Calc!$K$66:$L$76,2,FALSE)</f>
        <v>#N/A</v>
      </c>
      <c r="D515" s="81" t="e">
        <f ca="1">VLOOKUP(B515,Calc!$K$77:$L$87,2,FALSE)</f>
        <v>#N/A</v>
      </c>
      <c r="E515" s="523" t="e">
        <f ca="1">VLOOKUP(B515,Calc!$K$88:$L$98,2,FALSE)</f>
        <v>#N/A</v>
      </c>
      <c r="F515" s="523" t="e">
        <f ca="1">IF(Errorhandling!$C$42,INDEX(Calc!$J$99:$J$109,MATCH(Display!B515,Calc!$K$99:$K$109,0),1),#N/A)</f>
        <v>#N/A</v>
      </c>
    </row>
    <row r="516" spans="2:6" x14ac:dyDescent="0.2">
      <c r="B516" s="6">
        <f t="shared" si="11"/>
        <v>513</v>
      </c>
      <c r="C516" s="81" t="e">
        <f ca="1">VLOOKUP(B516,Calc!$K$66:$L$76,2,FALSE)</f>
        <v>#N/A</v>
      </c>
      <c r="D516" s="81" t="e">
        <f ca="1">VLOOKUP(B516,Calc!$K$77:$L$87,2,FALSE)</f>
        <v>#N/A</v>
      </c>
      <c r="E516" s="523" t="e">
        <f ca="1">VLOOKUP(B516,Calc!$K$88:$L$98,2,FALSE)</f>
        <v>#N/A</v>
      </c>
      <c r="F516" s="523" t="e">
        <f ca="1">IF(Errorhandling!$C$42,INDEX(Calc!$J$99:$J$109,MATCH(Display!B516,Calc!$K$99:$K$109,0),1),#N/A)</f>
        <v>#N/A</v>
      </c>
    </row>
    <row r="517" spans="2:6" x14ac:dyDescent="0.2">
      <c r="B517" s="6">
        <f t="shared" si="11"/>
        <v>514</v>
      </c>
      <c r="C517" s="81" t="e">
        <f ca="1">VLOOKUP(B517,Calc!$K$66:$L$76,2,FALSE)</f>
        <v>#N/A</v>
      </c>
      <c r="D517" s="81" t="e">
        <f ca="1">VLOOKUP(B517,Calc!$K$77:$L$87,2,FALSE)</f>
        <v>#N/A</v>
      </c>
      <c r="E517" s="523" t="e">
        <f ca="1">VLOOKUP(B517,Calc!$K$88:$L$98,2,FALSE)</f>
        <v>#N/A</v>
      </c>
      <c r="F517" s="523" t="e">
        <f ca="1">IF(Errorhandling!$C$42,INDEX(Calc!$J$99:$J$109,MATCH(Display!B517,Calc!$K$99:$K$109,0),1),#N/A)</f>
        <v>#N/A</v>
      </c>
    </row>
    <row r="518" spans="2:6" x14ac:dyDescent="0.2">
      <c r="B518" s="6">
        <f t="shared" si="11"/>
        <v>515</v>
      </c>
      <c r="C518" s="81" t="e">
        <f ca="1">VLOOKUP(B518,Calc!$K$66:$L$76,2,FALSE)</f>
        <v>#N/A</v>
      </c>
      <c r="D518" s="81" t="e">
        <f ca="1">VLOOKUP(B518,Calc!$K$77:$L$87,2,FALSE)</f>
        <v>#N/A</v>
      </c>
      <c r="E518" s="523" t="e">
        <f ca="1">VLOOKUP(B518,Calc!$K$88:$L$98,2,FALSE)</f>
        <v>#N/A</v>
      </c>
      <c r="F518" s="523" t="e">
        <f ca="1">IF(Errorhandling!$C$42,INDEX(Calc!$J$99:$J$109,MATCH(Display!B518,Calc!$K$99:$K$109,0),1),#N/A)</f>
        <v>#N/A</v>
      </c>
    </row>
    <row r="519" spans="2:6" x14ac:dyDescent="0.2">
      <c r="B519" s="6">
        <f t="shared" ref="B519:B582" si="12">1+B518</f>
        <v>516</v>
      </c>
      <c r="C519" s="81" t="e">
        <f ca="1">VLOOKUP(B519,Calc!$K$66:$L$76,2,FALSE)</f>
        <v>#N/A</v>
      </c>
      <c r="D519" s="81" t="e">
        <f ca="1">VLOOKUP(B519,Calc!$K$77:$L$87,2,FALSE)</f>
        <v>#N/A</v>
      </c>
      <c r="E519" s="523" t="e">
        <f ca="1">VLOOKUP(B519,Calc!$K$88:$L$98,2,FALSE)</f>
        <v>#N/A</v>
      </c>
      <c r="F519" s="523" t="e">
        <f ca="1">IF(Errorhandling!$C$42,INDEX(Calc!$J$99:$J$109,MATCH(Display!B519,Calc!$K$99:$K$109,0),1),#N/A)</f>
        <v>#N/A</v>
      </c>
    </row>
    <row r="520" spans="2:6" x14ac:dyDescent="0.2">
      <c r="B520" s="6">
        <f t="shared" si="12"/>
        <v>517</v>
      </c>
      <c r="C520" s="81" t="e">
        <f ca="1">VLOOKUP(B520,Calc!$K$66:$L$76,2,FALSE)</f>
        <v>#N/A</v>
      </c>
      <c r="D520" s="81" t="e">
        <f ca="1">VLOOKUP(B520,Calc!$K$77:$L$87,2,FALSE)</f>
        <v>#N/A</v>
      </c>
      <c r="E520" s="523" t="e">
        <f ca="1">VLOOKUP(B520,Calc!$K$88:$L$98,2,FALSE)</f>
        <v>#N/A</v>
      </c>
      <c r="F520" s="523" t="e">
        <f ca="1">IF(Errorhandling!$C$42,INDEX(Calc!$J$99:$J$109,MATCH(Display!B520,Calc!$K$99:$K$109,0),1),#N/A)</f>
        <v>#N/A</v>
      </c>
    </row>
    <row r="521" spans="2:6" x14ac:dyDescent="0.2">
      <c r="B521" s="6">
        <f t="shared" si="12"/>
        <v>518</v>
      </c>
      <c r="C521" s="81" t="e">
        <f ca="1">VLOOKUP(B521,Calc!$K$66:$L$76,2,FALSE)</f>
        <v>#N/A</v>
      </c>
      <c r="D521" s="81" t="e">
        <f ca="1">VLOOKUP(B521,Calc!$K$77:$L$87,2,FALSE)</f>
        <v>#N/A</v>
      </c>
      <c r="E521" s="523" t="e">
        <f ca="1">VLOOKUP(B521,Calc!$K$88:$L$98,2,FALSE)</f>
        <v>#N/A</v>
      </c>
      <c r="F521" s="523" t="e">
        <f ca="1">IF(Errorhandling!$C$42,INDEX(Calc!$J$99:$J$109,MATCH(Display!B521,Calc!$K$99:$K$109,0),1),#N/A)</f>
        <v>#N/A</v>
      </c>
    </row>
    <row r="522" spans="2:6" x14ac:dyDescent="0.2">
      <c r="B522" s="6">
        <f t="shared" si="12"/>
        <v>519</v>
      </c>
      <c r="C522" s="81" t="e">
        <f ca="1">VLOOKUP(B522,Calc!$K$66:$L$76,2,FALSE)</f>
        <v>#N/A</v>
      </c>
      <c r="D522" s="81" t="e">
        <f ca="1">VLOOKUP(B522,Calc!$K$77:$L$87,2,FALSE)</f>
        <v>#N/A</v>
      </c>
      <c r="E522" s="523" t="e">
        <f ca="1">VLOOKUP(B522,Calc!$K$88:$L$98,2,FALSE)</f>
        <v>#N/A</v>
      </c>
      <c r="F522" s="523" t="e">
        <f ca="1">IF(Errorhandling!$C$42,INDEX(Calc!$J$99:$J$109,MATCH(Display!B522,Calc!$K$99:$K$109,0),1),#N/A)</f>
        <v>#N/A</v>
      </c>
    </row>
    <row r="523" spans="2:6" x14ac:dyDescent="0.2">
      <c r="B523" s="6">
        <f t="shared" si="12"/>
        <v>520</v>
      </c>
      <c r="C523" s="81" t="e">
        <f ca="1">VLOOKUP(B523,Calc!$K$66:$L$76,2,FALSE)</f>
        <v>#N/A</v>
      </c>
      <c r="D523" s="81" t="e">
        <f ca="1">VLOOKUP(B523,Calc!$K$77:$L$87,2,FALSE)</f>
        <v>#N/A</v>
      </c>
      <c r="E523" s="523" t="e">
        <f ca="1">VLOOKUP(B523,Calc!$K$88:$L$98,2,FALSE)</f>
        <v>#N/A</v>
      </c>
      <c r="F523" s="523" t="e">
        <f ca="1">IF(Errorhandling!$C$42,INDEX(Calc!$J$99:$J$109,MATCH(Display!B523,Calc!$K$99:$K$109,0),1),#N/A)</f>
        <v>#N/A</v>
      </c>
    </row>
    <row r="524" spans="2:6" x14ac:dyDescent="0.2">
      <c r="B524" s="6">
        <f t="shared" si="12"/>
        <v>521</v>
      </c>
      <c r="C524" s="81" t="e">
        <f ca="1">VLOOKUP(B524,Calc!$K$66:$L$76,2,FALSE)</f>
        <v>#N/A</v>
      </c>
      <c r="D524" s="81" t="e">
        <f ca="1">VLOOKUP(B524,Calc!$K$77:$L$87,2,FALSE)</f>
        <v>#N/A</v>
      </c>
      <c r="E524" s="523" t="e">
        <f ca="1">VLOOKUP(B524,Calc!$K$88:$L$98,2,FALSE)</f>
        <v>#N/A</v>
      </c>
      <c r="F524" s="523" t="e">
        <f ca="1">IF(Errorhandling!$C$42,INDEX(Calc!$J$99:$J$109,MATCH(Display!B524,Calc!$K$99:$K$109,0),1),#N/A)</f>
        <v>#N/A</v>
      </c>
    </row>
    <row r="525" spans="2:6" x14ac:dyDescent="0.2">
      <c r="B525" s="6">
        <f t="shared" si="12"/>
        <v>522</v>
      </c>
      <c r="C525" s="81" t="e">
        <f ca="1">VLOOKUP(B525,Calc!$K$66:$L$76,2,FALSE)</f>
        <v>#N/A</v>
      </c>
      <c r="D525" s="81" t="e">
        <f ca="1">VLOOKUP(B525,Calc!$K$77:$L$87,2,FALSE)</f>
        <v>#N/A</v>
      </c>
      <c r="E525" s="523" t="e">
        <f ca="1">VLOOKUP(B525,Calc!$K$88:$L$98,2,FALSE)</f>
        <v>#N/A</v>
      </c>
      <c r="F525" s="523" t="e">
        <f ca="1">IF(Errorhandling!$C$42,INDEX(Calc!$J$99:$J$109,MATCH(Display!B525,Calc!$K$99:$K$109,0),1),#N/A)</f>
        <v>#N/A</v>
      </c>
    </row>
    <row r="526" spans="2:6" x14ac:dyDescent="0.2">
      <c r="B526" s="6">
        <f t="shared" si="12"/>
        <v>523</v>
      </c>
      <c r="C526" s="81" t="e">
        <f ca="1">VLOOKUP(B526,Calc!$K$66:$L$76,2,FALSE)</f>
        <v>#N/A</v>
      </c>
      <c r="D526" s="81" t="e">
        <f ca="1">VLOOKUP(B526,Calc!$K$77:$L$87,2,FALSE)</f>
        <v>#N/A</v>
      </c>
      <c r="E526" s="523" t="e">
        <f ca="1">VLOOKUP(B526,Calc!$K$88:$L$98,2,FALSE)</f>
        <v>#N/A</v>
      </c>
      <c r="F526" s="523" t="e">
        <f ca="1">IF(Errorhandling!$C$42,INDEX(Calc!$J$99:$J$109,MATCH(Display!B526,Calc!$K$99:$K$109,0),1),#N/A)</f>
        <v>#N/A</v>
      </c>
    </row>
    <row r="527" spans="2:6" x14ac:dyDescent="0.2">
      <c r="B527" s="6">
        <f t="shared" si="12"/>
        <v>524</v>
      </c>
      <c r="C527" s="81" t="e">
        <f ca="1">VLOOKUP(B527,Calc!$K$66:$L$76,2,FALSE)</f>
        <v>#N/A</v>
      </c>
      <c r="D527" s="81" t="e">
        <f ca="1">VLOOKUP(B527,Calc!$K$77:$L$87,2,FALSE)</f>
        <v>#N/A</v>
      </c>
      <c r="E527" s="523" t="e">
        <f ca="1">VLOOKUP(B527,Calc!$K$88:$L$98,2,FALSE)</f>
        <v>#N/A</v>
      </c>
      <c r="F527" s="523" t="e">
        <f ca="1">IF(Errorhandling!$C$42,INDEX(Calc!$J$99:$J$109,MATCH(Display!B527,Calc!$K$99:$K$109,0),1),#N/A)</f>
        <v>#N/A</v>
      </c>
    </row>
    <row r="528" spans="2:6" x14ac:dyDescent="0.2">
      <c r="B528" s="6">
        <f t="shared" si="12"/>
        <v>525</v>
      </c>
      <c r="C528" s="81" t="e">
        <f ca="1">VLOOKUP(B528,Calc!$K$66:$L$76,2,FALSE)</f>
        <v>#N/A</v>
      </c>
      <c r="D528" s="81" t="e">
        <f ca="1">VLOOKUP(B528,Calc!$K$77:$L$87,2,FALSE)</f>
        <v>#N/A</v>
      </c>
      <c r="E528" s="523" t="e">
        <f ca="1">VLOOKUP(B528,Calc!$K$88:$L$98,2,FALSE)</f>
        <v>#N/A</v>
      </c>
      <c r="F528" s="523" t="e">
        <f ca="1">IF(Errorhandling!$C$42,INDEX(Calc!$J$99:$J$109,MATCH(Display!B528,Calc!$K$99:$K$109,0),1),#N/A)</f>
        <v>#N/A</v>
      </c>
    </row>
    <row r="529" spans="2:6" x14ac:dyDescent="0.2">
      <c r="B529" s="6">
        <f t="shared" si="12"/>
        <v>526</v>
      </c>
      <c r="C529" s="81" t="e">
        <f ca="1">VLOOKUP(B529,Calc!$K$66:$L$76,2,FALSE)</f>
        <v>#N/A</v>
      </c>
      <c r="D529" s="81" t="e">
        <f ca="1">VLOOKUP(B529,Calc!$K$77:$L$87,2,FALSE)</f>
        <v>#N/A</v>
      </c>
      <c r="E529" s="523" t="e">
        <f ca="1">VLOOKUP(B529,Calc!$K$88:$L$98,2,FALSE)</f>
        <v>#N/A</v>
      </c>
      <c r="F529" s="523" t="e">
        <f ca="1">IF(Errorhandling!$C$42,INDEX(Calc!$J$99:$J$109,MATCH(Display!B529,Calc!$K$99:$K$109,0),1),#N/A)</f>
        <v>#N/A</v>
      </c>
    </row>
    <row r="530" spans="2:6" x14ac:dyDescent="0.2">
      <c r="B530" s="6">
        <f t="shared" si="12"/>
        <v>527</v>
      </c>
      <c r="C530" s="81" t="e">
        <f ca="1">VLOOKUP(B530,Calc!$K$66:$L$76,2,FALSE)</f>
        <v>#N/A</v>
      </c>
      <c r="D530" s="81" t="e">
        <f ca="1">VLOOKUP(B530,Calc!$K$77:$L$87,2,FALSE)</f>
        <v>#N/A</v>
      </c>
      <c r="E530" s="523" t="e">
        <f ca="1">VLOOKUP(B530,Calc!$K$88:$L$98,2,FALSE)</f>
        <v>#N/A</v>
      </c>
      <c r="F530" s="523" t="e">
        <f ca="1">IF(Errorhandling!$C$42,INDEX(Calc!$J$99:$J$109,MATCH(Display!B530,Calc!$K$99:$K$109,0),1),#N/A)</f>
        <v>#N/A</v>
      </c>
    </row>
    <row r="531" spans="2:6" x14ac:dyDescent="0.2">
      <c r="B531" s="6">
        <f t="shared" si="12"/>
        <v>528</v>
      </c>
      <c r="C531" s="81" t="e">
        <f ca="1">VLOOKUP(B531,Calc!$K$66:$L$76,2,FALSE)</f>
        <v>#N/A</v>
      </c>
      <c r="D531" s="81" t="e">
        <f ca="1">VLOOKUP(B531,Calc!$K$77:$L$87,2,FALSE)</f>
        <v>#N/A</v>
      </c>
      <c r="E531" s="523" t="e">
        <f ca="1">VLOOKUP(B531,Calc!$K$88:$L$98,2,FALSE)</f>
        <v>#N/A</v>
      </c>
      <c r="F531" s="523" t="e">
        <f ca="1">IF(Errorhandling!$C$42,INDEX(Calc!$J$99:$J$109,MATCH(Display!B531,Calc!$K$99:$K$109,0),1),#N/A)</f>
        <v>#N/A</v>
      </c>
    </row>
    <row r="532" spans="2:6" x14ac:dyDescent="0.2">
      <c r="B532" s="6">
        <f t="shared" si="12"/>
        <v>529</v>
      </c>
      <c r="C532" s="81" t="e">
        <f ca="1">VLOOKUP(B532,Calc!$K$66:$L$76,2,FALSE)</f>
        <v>#N/A</v>
      </c>
      <c r="D532" s="81" t="e">
        <f ca="1">VLOOKUP(B532,Calc!$K$77:$L$87,2,FALSE)</f>
        <v>#N/A</v>
      </c>
      <c r="E532" s="523" t="e">
        <f ca="1">VLOOKUP(B532,Calc!$K$88:$L$98,2,FALSE)</f>
        <v>#N/A</v>
      </c>
      <c r="F532" s="523" t="e">
        <f ca="1">IF(Errorhandling!$C$42,INDEX(Calc!$J$99:$J$109,MATCH(Display!B532,Calc!$K$99:$K$109,0),1),#N/A)</f>
        <v>#N/A</v>
      </c>
    </row>
    <row r="533" spans="2:6" x14ac:dyDescent="0.2">
      <c r="B533" s="6">
        <f t="shared" si="12"/>
        <v>530</v>
      </c>
      <c r="C533" s="81" t="e">
        <f ca="1">VLOOKUP(B533,Calc!$K$66:$L$76,2,FALSE)</f>
        <v>#N/A</v>
      </c>
      <c r="D533" s="81" t="e">
        <f ca="1">VLOOKUP(B533,Calc!$K$77:$L$87,2,FALSE)</f>
        <v>#N/A</v>
      </c>
      <c r="E533" s="523" t="e">
        <f ca="1">VLOOKUP(B533,Calc!$K$88:$L$98,2,FALSE)</f>
        <v>#N/A</v>
      </c>
      <c r="F533" s="523" t="e">
        <f ca="1">IF(Errorhandling!$C$42,INDEX(Calc!$J$99:$J$109,MATCH(Display!B533,Calc!$K$99:$K$109,0),1),#N/A)</f>
        <v>#N/A</v>
      </c>
    </row>
    <row r="534" spans="2:6" x14ac:dyDescent="0.2">
      <c r="B534" s="6">
        <f t="shared" si="12"/>
        <v>531</v>
      </c>
      <c r="C534" s="81" t="e">
        <f ca="1">VLOOKUP(B534,Calc!$K$66:$L$76,2,FALSE)</f>
        <v>#N/A</v>
      </c>
      <c r="D534" s="81" t="e">
        <f ca="1">VLOOKUP(B534,Calc!$K$77:$L$87,2,FALSE)</f>
        <v>#N/A</v>
      </c>
      <c r="E534" s="523" t="e">
        <f ca="1">VLOOKUP(B534,Calc!$K$88:$L$98,2,FALSE)</f>
        <v>#N/A</v>
      </c>
      <c r="F534" s="523" t="e">
        <f ca="1">IF(Errorhandling!$C$42,INDEX(Calc!$J$99:$J$109,MATCH(Display!B534,Calc!$K$99:$K$109,0),1),#N/A)</f>
        <v>#N/A</v>
      </c>
    </row>
    <row r="535" spans="2:6" x14ac:dyDescent="0.2">
      <c r="B535" s="6">
        <f t="shared" si="12"/>
        <v>532</v>
      </c>
      <c r="C535" s="81" t="e">
        <f ca="1">VLOOKUP(B535,Calc!$K$66:$L$76,2,FALSE)</f>
        <v>#N/A</v>
      </c>
      <c r="D535" s="81" t="e">
        <f ca="1">VLOOKUP(B535,Calc!$K$77:$L$87,2,FALSE)</f>
        <v>#N/A</v>
      </c>
      <c r="E535" s="523" t="e">
        <f ca="1">VLOOKUP(B535,Calc!$K$88:$L$98,2,FALSE)</f>
        <v>#N/A</v>
      </c>
      <c r="F535" s="523" t="e">
        <f ca="1">IF(Errorhandling!$C$42,INDEX(Calc!$J$99:$J$109,MATCH(Display!B535,Calc!$K$99:$K$109,0),1),#N/A)</f>
        <v>#N/A</v>
      </c>
    </row>
    <row r="536" spans="2:6" x14ac:dyDescent="0.2">
      <c r="B536" s="6">
        <f t="shared" si="12"/>
        <v>533</v>
      </c>
      <c r="C536" s="81" t="e">
        <f ca="1">VLOOKUP(B536,Calc!$K$66:$L$76,2,FALSE)</f>
        <v>#N/A</v>
      </c>
      <c r="D536" s="81" t="e">
        <f ca="1">VLOOKUP(B536,Calc!$K$77:$L$87,2,FALSE)</f>
        <v>#N/A</v>
      </c>
      <c r="E536" s="523" t="e">
        <f ca="1">VLOOKUP(B536,Calc!$K$88:$L$98,2,FALSE)</f>
        <v>#N/A</v>
      </c>
      <c r="F536" s="523" t="e">
        <f ca="1">IF(Errorhandling!$C$42,INDEX(Calc!$J$99:$J$109,MATCH(Display!B536,Calc!$K$99:$K$109,0),1),#N/A)</f>
        <v>#N/A</v>
      </c>
    </row>
    <row r="537" spans="2:6" x14ac:dyDescent="0.2">
      <c r="B537" s="6">
        <f t="shared" si="12"/>
        <v>534</v>
      </c>
      <c r="C537" s="81" t="e">
        <f ca="1">VLOOKUP(B537,Calc!$K$66:$L$76,2,FALSE)</f>
        <v>#N/A</v>
      </c>
      <c r="D537" s="81" t="e">
        <f ca="1">VLOOKUP(B537,Calc!$K$77:$L$87,2,FALSE)</f>
        <v>#N/A</v>
      </c>
      <c r="E537" s="523" t="e">
        <f ca="1">VLOOKUP(B537,Calc!$K$88:$L$98,2,FALSE)</f>
        <v>#N/A</v>
      </c>
      <c r="F537" s="523" t="e">
        <f ca="1">IF(Errorhandling!$C$42,INDEX(Calc!$J$99:$J$109,MATCH(Display!B537,Calc!$K$99:$K$109,0),1),#N/A)</f>
        <v>#N/A</v>
      </c>
    </row>
    <row r="538" spans="2:6" x14ac:dyDescent="0.2">
      <c r="B538" s="6">
        <f t="shared" si="12"/>
        <v>535</v>
      </c>
      <c r="C538" s="81" t="e">
        <f ca="1">VLOOKUP(B538,Calc!$K$66:$L$76,2,FALSE)</f>
        <v>#N/A</v>
      </c>
      <c r="D538" s="81" t="e">
        <f ca="1">VLOOKUP(B538,Calc!$K$77:$L$87,2,FALSE)</f>
        <v>#N/A</v>
      </c>
      <c r="E538" s="523" t="e">
        <f ca="1">VLOOKUP(B538,Calc!$K$88:$L$98,2,FALSE)</f>
        <v>#N/A</v>
      </c>
      <c r="F538" s="523" t="e">
        <f ca="1">IF(Errorhandling!$C$42,INDEX(Calc!$J$99:$J$109,MATCH(Display!B538,Calc!$K$99:$K$109,0),1),#N/A)</f>
        <v>#N/A</v>
      </c>
    </row>
    <row r="539" spans="2:6" x14ac:dyDescent="0.2">
      <c r="B539" s="6">
        <f t="shared" si="12"/>
        <v>536</v>
      </c>
      <c r="C539" s="81" t="e">
        <f ca="1">VLOOKUP(B539,Calc!$K$66:$L$76,2,FALSE)</f>
        <v>#N/A</v>
      </c>
      <c r="D539" s="81" t="e">
        <f ca="1">VLOOKUP(B539,Calc!$K$77:$L$87,2,FALSE)</f>
        <v>#N/A</v>
      </c>
      <c r="E539" s="523" t="e">
        <f ca="1">VLOOKUP(B539,Calc!$K$88:$L$98,2,FALSE)</f>
        <v>#N/A</v>
      </c>
      <c r="F539" s="523" t="e">
        <f ca="1">IF(Errorhandling!$C$42,INDEX(Calc!$J$99:$J$109,MATCH(Display!B539,Calc!$K$99:$K$109,0),1),#N/A)</f>
        <v>#N/A</v>
      </c>
    </row>
    <row r="540" spans="2:6" x14ac:dyDescent="0.2">
      <c r="B540" s="6">
        <f t="shared" si="12"/>
        <v>537</v>
      </c>
      <c r="C540" s="81" t="e">
        <f ca="1">VLOOKUP(B540,Calc!$K$66:$L$76,2,FALSE)</f>
        <v>#N/A</v>
      </c>
      <c r="D540" s="81" t="e">
        <f ca="1">VLOOKUP(B540,Calc!$K$77:$L$87,2,FALSE)</f>
        <v>#N/A</v>
      </c>
      <c r="E540" s="523" t="e">
        <f ca="1">VLOOKUP(B540,Calc!$K$88:$L$98,2,FALSE)</f>
        <v>#N/A</v>
      </c>
      <c r="F540" s="523" t="e">
        <f ca="1">IF(Errorhandling!$C$42,INDEX(Calc!$J$99:$J$109,MATCH(Display!B540,Calc!$K$99:$K$109,0),1),#N/A)</f>
        <v>#N/A</v>
      </c>
    </row>
    <row r="541" spans="2:6" x14ac:dyDescent="0.2">
      <c r="B541" s="6">
        <f t="shared" si="12"/>
        <v>538</v>
      </c>
      <c r="C541" s="81" t="e">
        <f ca="1">VLOOKUP(B541,Calc!$K$66:$L$76,2,FALSE)</f>
        <v>#N/A</v>
      </c>
      <c r="D541" s="81" t="e">
        <f ca="1">VLOOKUP(B541,Calc!$K$77:$L$87,2,FALSE)</f>
        <v>#N/A</v>
      </c>
      <c r="E541" s="523" t="e">
        <f ca="1">VLOOKUP(B541,Calc!$K$88:$L$98,2,FALSE)</f>
        <v>#N/A</v>
      </c>
      <c r="F541" s="523" t="e">
        <f ca="1">IF(Errorhandling!$C$42,INDEX(Calc!$J$99:$J$109,MATCH(Display!B541,Calc!$K$99:$K$109,0),1),#N/A)</f>
        <v>#N/A</v>
      </c>
    </row>
    <row r="542" spans="2:6" x14ac:dyDescent="0.2">
      <c r="B542" s="6">
        <f t="shared" si="12"/>
        <v>539</v>
      </c>
      <c r="C542" s="81" t="e">
        <f ca="1">VLOOKUP(B542,Calc!$K$66:$L$76,2,FALSE)</f>
        <v>#N/A</v>
      </c>
      <c r="D542" s="81" t="e">
        <f ca="1">VLOOKUP(B542,Calc!$K$77:$L$87,2,FALSE)</f>
        <v>#N/A</v>
      </c>
      <c r="E542" s="523" t="e">
        <f ca="1">VLOOKUP(B542,Calc!$K$88:$L$98,2,FALSE)</f>
        <v>#N/A</v>
      </c>
      <c r="F542" s="523" t="e">
        <f ca="1">IF(Errorhandling!$C$42,INDEX(Calc!$J$99:$J$109,MATCH(Display!B542,Calc!$K$99:$K$109,0),1),#N/A)</f>
        <v>#N/A</v>
      </c>
    </row>
    <row r="543" spans="2:6" x14ac:dyDescent="0.2">
      <c r="B543" s="6">
        <f t="shared" si="12"/>
        <v>540</v>
      </c>
      <c r="C543" s="81" t="e">
        <f ca="1">VLOOKUP(B543,Calc!$K$66:$L$76,2,FALSE)</f>
        <v>#N/A</v>
      </c>
      <c r="D543" s="81" t="e">
        <f ca="1">VLOOKUP(B543,Calc!$K$77:$L$87,2,FALSE)</f>
        <v>#N/A</v>
      </c>
      <c r="E543" s="523" t="e">
        <f ca="1">VLOOKUP(B543,Calc!$K$88:$L$98,2,FALSE)</f>
        <v>#N/A</v>
      </c>
      <c r="F543" s="523" t="e">
        <f ca="1">IF(Errorhandling!$C$42,INDEX(Calc!$J$99:$J$109,MATCH(Display!B543,Calc!$K$99:$K$109,0),1),#N/A)</f>
        <v>#N/A</v>
      </c>
    </row>
    <row r="544" spans="2:6" x14ac:dyDescent="0.2">
      <c r="B544" s="6">
        <f t="shared" si="12"/>
        <v>541</v>
      </c>
      <c r="C544" s="81" t="e">
        <f ca="1">VLOOKUP(B544,Calc!$K$66:$L$76,2,FALSE)</f>
        <v>#N/A</v>
      </c>
      <c r="D544" s="81" t="e">
        <f ca="1">VLOOKUP(B544,Calc!$K$77:$L$87,2,FALSE)</f>
        <v>#N/A</v>
      </c>
      <c r="E544" s="523" t="e">
        <f ca="1">VLOOKUP(B544,Calc!$K$88:$L$98,2,FALSE)</f>
        <v>#N/A</v>
      </c>
      <c r="F544" s="523" t="e">
        <f ca="1">IF(Errorhandling!$C$42,INDEX(Calc!$J$99:$J$109,MATCH(Display!B544,Calc!$K$99:$K$109,0),1),#N/A)</f>
        <v>#N/A</v>
      </c>
    </row>
    <row r="545" spans="2:6" x14ac:dyDescent="0.2">
      <c r="B545" s="6">
        <f t="shared" si="12"/>
        <v>542</v>
      </c>
      <c r="C545" s="81" t="e">
        <f ca="1">VLOOKUP(B545,Calc!$K$66:$L$76,2,FALSE)</f>
        <v>#N/A</v>
      </c>
      <c r="D545" s="81" t="e">
        <f ca="1">VLOOKUP(B545,Calc!$K$77:$L$87,2,FALSE)</f>
        <v>#N/A</v>
      </c>
      <c r="E545" s="523" t="e">
        <f ca="1">VLOOKUP(B545,Calc!$K$88:$L$98,2,FALSE)</f>
        <v>#N/A</v>
      </c>
      <c r="F545" s="523" t="e">
        <f ca="1">IF(Errorhandling!$C$42,INDEX(Calc!$J$99:$J$109,MATCH(Display!B545,Calc!$K$99:$K$109,0),1),#N/A)</f>
        <v>#N/A</v>
      </c>
    </row>
    <row r="546" spans="2:6" x14ac:dyDescent="0.2">
      <c r="B546" s="6">
        <f t="shared" si="12"/>
        <v>543</v>
      </c>
      <c r="C546" s="81" t="e">
        <f ca="1">VLOOKUP(B546,Calc!$K$66:$L$76,2,FALSE)</f>
        <v>#N/A</v>
      </c>
      <c r="D546" s="81" t="e">
        <f ca="1">VLOOKUP(B546,Calc!$K$77:$L$87,2,FALSE)</f>
        <v>#N/A</v>
      </c>
      <c r="E546" s="523" t="e">
        <f ca="1">VLOOKUP(B546,Calc!$K$88:$L$98,2,FALSE)</f>
        <v>#N/A</v>
      </c>
      <c r="F546" s="523" t="e">
        <f ca="1">IF(Errorhandling!$C$42,INDEX(Calc!$J$99:$J$109,MATCH(Display!B546,Calc!$K$99:$K$109,0),1),#N/A)</f>
        <v>#N/A</v>
      </c>
    </row>
    <row r="547" spans="2:6" x14ac:dyDescent="0.2">
      <c r="B547" s="6">
        <f t="shared" si="12"/>
        <v>544</v>
      </c>
      <c r="C547" s="81" t="e">
        <f ca="1">VLOOKUP(B547,Calc!$K$66:$L$76,2,FALSE)</f>
        <v>#N/A</v>
      </c>
      <c r="D547" s="81" t="e">
        <f ca="1">VLOOKUP(B547,Calc!$K$77:$L$87,2,FALSE)</f>
        <v>#N/A</v>
      </c>
      <c r="E547" s="523" t="e">
        <f ca="1">VLOOKUP(B547,Calc!$K$88:$L$98,2,FALSE)</f>
        <v>#N/A</v>
      </c>
      <c r="F547" s="523" t="e">
        <f ca="1">IF(Errorhandling!$C$42,INDEX(Calc!$J$99:$J$109,MATCH(Display!B547,Calc!$K$99:$K$109,0),1),#N/A)</f>
        <v>#N/A</v>
      </c>
    </row>
    <row r="548" spans="2:6" x14ac:dyDescent="0.2">
      <c r="B548" s="6">
        <f t="shared" si="12"/>
        <v>545</v>
      </c>
      <c r="C548" s="81" t="e">
        <f ca="1">VLOOKUP(B548,Calc!$K$66:$L$76,2,FALSE)</f>
        <v>#N/A</v>
      </c>
      <c r="D548" s="81" t="e">
        <f ca="1">VLOOKUP(B548,Calc!$K$77:$L$87,2,FALSE)</f>
        <v>#N/A</v>
      </c>
      <c r="E548" s="523" t="e">
        <f ca="1">VLOOKUP(B548,Calc!$K$88:$L$98,2,FALSE)</f>
        <v>#N/A</v>
      </c>
      <c r="F548" s="523" t="e">
        <f ca="1">IF(Errorhandling!$C$42,INDEX(Calc!$J$99:$J$109,MATCH(Display!B548,Calc!$K$99:$K$109,0),1),#N/A)</f>
        <v>#N/A</v>
      </c>
    </row>
    <row r="549" spans="2:6" x14ac:dyDescent="0.2">
      <c r="B549" s="6">
        <f t="shared" si="12"/>
        <v>546</v>
      </c>
      <c r="C549" s="81" t="e">
        <f ca="1">VLOOKUP(B549,Calc!$K$66:$L$76,2,FALSE)</f>
        <v>#N/A</v>
      </c>
      <c r="D549" s="81" t="e">
        <f ca="1">VLOOKUP(B549,Calc!$K$77:$L$87,2,FALSE)</f>
        <v>#N/A</v>
      </c>
      <c r="E549" s="523" t="e">
        <f ca="1">VLOOKUP(B549,Calc!$K$88:$L$98,2,FALSE)</f>
        <v>#N/A</v>
      </c>
      <c r="F549" s="523" t="e">
        <f ca="1">IF(Errorhandling!$C$42,INDEX(Calc!$J$99:$J$109,MATCH(Display!B549,Calc!$K$99:$K$109,0),1),#N/A)</f>
        <v>#N/A</v>
      </c>
    </row>
    <row r="550" spans="2:6" x14ac:dyDescent="0.2">
      <c r="B550" s="6">
        <f t="shared" si="12"/>
        <v>547</v>
      </c>
      <c r="C550" s="81" t="e">
        <f ca="1">VLOOKUP(B550,Calc!$K$66:$L$76,2,FALSE)</f>
        <v>#N/A</v>
      </c>
      <c r="D550" s="81" t="e">
        <f ca="1">VLOOKUP(B550,Calc!$K$77:$L$87,2,FALSE)</f>
        <v>#N/A</v>
      </c>
      <c r="E550" s="523" t="e">
        <f ca="1">VLOOKUP(B550,Calc!$K$88:$L$98,2,FALSE)</f>
        <v>#N/A</v>
      </c>
      <c r="F550" s="523" t="e">
        <f ca="1">IF(Errorhandling!$C$42,INDEX(Calc!$J$99:$J$109,MATCH(Display!B550,Calc!$K$99:$K$109,0),1),#N/A)</f>
        <v>#N/A</v>
      </c>
    </row>
    <row r="551" spans="2:6" x14ac:dyDescent="0.2">
      <c r="B551" s="6">
        <f t="shared" si="12"/>
        <v>548</v>
      </c>
      <c r="C551" s="81" t="e">
        <f ca="1">VLOOKUP(B551,Calc!$K$66:$L$76,2,FALSE)</f>
        <v>#N/A</v>
      </c>
      <c r="D551" s="81" t="e">
        <f ca="1">VLOOKUP(B551,Calc!$K$77:$L$87,2,FALSE)</f>
        <v>#N/A</v>
      </c>
      <c r="E551" s="523" t="e">
        <f ca="1">VLOOKUP(B551,Calc!$K$88:$L$98,2,FALSE)</f>
        <v>#N/A</v>
      </c>
      <c r="F551" s="523" t="e">
        <f ca="1">IF(Errorhandling!$C$42,INDEX(Calc!$J$99:$J$109,MATCH(Display!B551,Calc!$K$99:$K$109,0),1),#N/A)</f>
        <v>#N/A</v>
      </c>
    </row>
    <row r="552" spans="2:6" x14ac:dyDescent="0.2">
      <c r="B552" s="6">
        <f t="shared" si="12"/>
        <v>549</v>
      </c>
      <c r="C552" s="81" t="e">
        <f ca="1">VLOOKUP(B552,Calc!$K$66:$L$76,2,FALSE)</f>
        <v>#N/A</v>
      </c>
      <c r="D552" s="81" t="e">
        <f ca="1">VLOOKUP(B552,Calc!$K$77:$L$87,2,FALSE)</f>
        <v>#N/A</v>
      </c>
      <c r="E552" s="523" t="e">
        <f ca="1">VLOOKUP(B552,Calc!$K$88:$L$98,2,FALSE)</f>
        <v>#N/A</v>
      </c>
      <c r="F552" s="523" t="e">
        <f ca="1">IF(Errorhandling!$C$42,INDEX(Calc!$J$99:$J$109,MATCH(Display!B552,Calc!$K$99:$K$109,0),1),#N/A)</f>
        <v>#N/A</v>
      </c>
    </row>
    <row r="553" spans="2:6" x14ac:dyDescent="0.2">
      <c r="B553" s="6">
        <f t="shared" si="12"/>
        <v>550</v>
      </c>
      <c r="C553" s="81" t="e">
        <f ca="1">VLOOKUP(B553,Calc!$K$66:$L$76,2,FALSE)</f>
        <v>#N/A</v>
      </c>
      <c r="D553" s="81" t="e">
        <f ca="1">VLOOKUP(B553,Calc!$K$77:$L$87,2,FALSE)</f>
        <v>#N/A</v>
      </c>
      <c r="E553" s="523" t="e">
        <f ca="1">VLOOKUP(B553,Calc!$K$88:$L$98,2,FALSE)</f>
        <v>#N/A</v>
      </c>
      <c r="F553" s="523" t="e">
        <f ca="1">IF(Errorhandling!$C$42,INDEX(Calc!$J$99:$J$109,MATCH(Display!B553,Calc!$K$99:$K$109,0),1),#N/A)</f>
        <v>#N/A</v>
      </c>
    </row>
    <row r="554" spans="2:6" x14ac:dyDescent="0.2">
      <c r="B554" s="6">
        <f t="shared" si="12"/>
        <v>551</v>
      </c>
      <c r="C554" s="81" t="e">
        <f ca="1">VLOOKUP(B554,Calc!$K$66:$L$76,2,FALSE)</f>
        <v>#N/A</v>
      </c>
      <c r="D554" s="81" t="e">
        <f ca="1">VLOOKUP(B554,Calc!$K$77:$L$87,2,FALSE)</f>
        <v>#N/A</v>
      </c>
      <c r="E554" s="523" t="e">
        <f ca="1">VLOOKUP(B554,Calc!$K$88:$L$98,2,FALSE)</f>
        <v>#N/A</v>
      </c>
      <c r="F554" s="523" t="e">
        <f ca="1">IF(Errorhandling!$C$42,INDEX(Calc!$J$99:$J$109,MATCH(Display!B554,Calc!$K$99:$K$109,0),1),#N/A)</f>
        <v>#N/A</v>
      </c>
    </row>
    <row r="555" spans="2:6" x14ac:dyDescent="0.2">
      <c r="B555" s="6">
        <f t="shared" si="12"/>
        <v>552</v>
      </c>
      <c r="C555" s="81" t="e">
        <f ca="1">VLOOKUP(B555,Calc!$K$66:$L$76,2,FALSE)</f>
        <v>#N/A</v>
      </c>
      <c r="D555" s="81" t="e">
        <f ca="1">VLOOKUP(B555,Calc!$K$77:$L$87,2,FALSE)</f>
        <v>#N/A</v>
      </c>
      <c r="E555" s="523" t="e">
        <f ca="1">VLOOKUP(B555,Calc!$K$88:$L$98,2,FALSE)</f>
        <v>#N/A</v>
      </c>
      <c r="F555" s="523" t="e">
        <f ca="1">IF(Errorhandling!$C$42,INDEX(Calc!$J$99:$J$109,MATCH(Display!B555,Calc!$K$99:$K$109,0),1),#N/A)</f>
        <v>#N/A</v>
      </c>
    </row>
    <row r="556" spans="2:6" x14ac:dyDescent="0.2">
      <c r="B556" s="6">
        <f t="shared" si="12"/>
        <v>553</v>
      </c>
      <c r="C556" s="81" t="e">
        <f ca="1">VLOOKUP(B556,Calc!$K$66:$L$76,2,FALSE)</f>
        <v>#N/A</v>
      </c>
      <c r="D556" s="81" t="e">
        <f ca="1">VLOOKUP(B556,Calc!$K$77:$L$87,2,FALSE)</f>
        <v>#N/A</v>
      </c>
      <c r="E556" s="523" t="e">
        <f ca="1">VLOOKUP(B556,Calc!$K$88:$L$98,2,FALSE)</f>
        <v>#N/A</v>
      </c>
      <c r="F556" s="523" t="e">
        <f ca="1">IF(Errorhandling!$C$42,INDEX(Calc!$J$99:$J$109,MATCH(Display!B556,Calc!$K$99:$K$109,0),1),#N/A)</f>
        <v>#N/A</v>
      </c>
    </row>
    <row r="557" spans="2:6" x14ac:dyDescent="0.2">
      <c r="B557" s="6">
        <f t="shared" si="12"/>
        <v>554</v>
      </c>
      <c r="C557" s="81" t="e">
        <f ca="1">VLOOKUP(B557,Calc!$K$66:$L$76,2,FALSE)</f>
        <v>#N/A</v>
      </c>
      <c r="D557" s="81" t="e">
        <f ca="1">VLOOKUP(B557,Calc!$K$77:$L$87,2,FALSE)</f>
        <v>#N/A</v>
      </c>
      <c r="E557" s="523" t="e">
        <f ca="1">VLOOKUP(B557,Calc!$K$88:$L$98,2,FALSE)</f>
        <v>#N/A</v>
      </c>
      <c r="F557" s="523" t="e">
        <f ca="1">IF(Errorhandling!$C$42,INDEX(Calc!$J$99:$J$109,MATCH(Display!B557,Calc!$K$99:$K$109,0),1),#N/A)</f>
        <v>#N/A</v>
      </c>
    </row>
    <row r="558" spans="2:6" x14ac:dyDescent="0.2">
      <c r="B558" s="6">
        <f t="shared" si="12"/>
        <v>555</v>
      </c>
      <c r="C558" s="81" t="e">
        <f ca="1">VLOOKUP(B558,Calc!$K$66:$L$76,2,FALSE)</f>
        <v>#N/A</v>
      </c>
      <c r="D558" s="81" t="e">
        <f ca="1">VLOOKUP(B558,Calc!$K$77:$L$87,2,FALSE)</f>
        <v>#N/A</v>
      </c>
      <c r="E558" s="523" t="e">
        <f ca="1">VLOOKUP(B558,Calc!$K$88:$L$98,2,FALSE)</f>
        <v>#N/A</v>
      </c>
      <c r="F558" s="523" t="e">
        <f ca="1">IF(Errorhandling!$C$42,INDEX(Calc!$J$99:$J$109,MATCH(Display!B558,Calc!$K$99:$K$109,0),1),#N/A)</f>
        <v>#N/A</v>
      </c>
    </row>
    <row r="559" spans="2:6" x14ac:dyDescent="0.2">
      <c r="B559" s="6">
        <f t="shared" si="12"/>
        <v>556</v>
      </c>
      <c r="C559" s="81" t="e">
        <f ca="1">VLOOKUP(B559,Calc!$K$66:$L$76,2,FALSE)</f>
        <v>#N/A</v>
      </c>
      <c r="D559" s="81" t="e">
        <f ca="1">VLOOKUP(B559,Calc!$K$77:$L$87,2,FALSE)</f>
        <v>#N/A</v>
      </c>
      <c r="E559" s="523" t="e">
        <f ca="1">VLOOKUP(B559,Calc!$K$88:$L$98,2,FALSE)</f>
        <v>#N/A</v>
      </c>
      <c r="F559" s="523" t="e">
        <f ca="1">IF(Errorhandling!$C$42,INDEX(Calc!$J$99:$J$109,MATCH(Display!B559,Calc!$K$99:$K$109,0),1),#N/A)</f>
        <v>#N/A</v>
      </c>
    </row>
    <row r="560" spans="2:6" x14ac:dyDescent="0.2">
      <c r="B560" s="6">
        <f t="shared" si="12"/>
        <v>557</v>
      </c>
      <c r="C560" s="81" t="e">
        <f ca="1">VLOOKUP(B560,Calc!$K$66:$L$76,2,FALSE)</f>
        <v>#N/A</v>
      </c>
      <c r="D560" s="81" t="e">
        <f ca="1">VLOOKUP(B560,Calc!$K$77:$L$87,2,FALSE)</f>
        <v>#N/A</v>
      </c>
      <c r="E560" s="523" t="e">
        <f ca="1">VLOOKUP(B560,Calc!$K$88:$L$98,2,FALSE)</f>
        <v>#N/A</v>
      </c>
      <c r="F560" s="523" t="e">
        <f ca="1">IF(Errorhandling!$C$42,INDEX(Calc!$J$99:$J$109,MATCH(Display!B560,Calc!$K$99:$K$109,0),1),#N/A)</f>
        <v>#N/A</v>
      </c>
    </row>
    <row r="561" spans="2:6" x14ac:dyDescent="0.2">
      <c r="B561" s="6">
        <f t="shared" si="12"/>
        <v>558</v>
      </c>
      <c r="C561" s="81" t="e">
        <f ca="1">VLOOKUP(B561,Calc!$K$66:$L$76,2,FALSE)</f>
        <v>#N/A</v>
      </c>
      <c r="D561" s="81" t="e">
        <f ca="1">VLOOKUP(B561,Calc!$K$77:$L$87,2,FALSE)</f>
        <v>#N/A</v>
      </c>
      <c r="E561" s="523" t="e">
        <f ca="1">VLOOKUP(B561,Calc!$K$88:$L$98,2,FALSE)</f>
        <v>#N/A</v>
      </c>
      <c r="F561" s="523" t="e">
        <f ca="1">IF(Errorhandling!$C$42,INDEX(Calc!$J$99:$J$109,MATCH(Display!B561,Calc!$K$99:$K$109,0),1),#N/A)</f>
        <v>#N/A</v>
      </c>
    </row>
    <row r="562" spans="2:6" x14ac:dyDescent="0.2">
      <c r="B562" s="6">
        <f t="shared" si="12"/>
        <v>559</v>
      </c>
      <c r="C562" s="81" t="e">
        <f ca="1">VLOOKUP(B562,Calc!$K$66:$L$76,2,FALSE)</f>
        <v>#N/A</v>
      </c>
      <c r="D562" s="81" t="e">
        <f ca="1">VLOOKUP(B562,Calc!$K$77:$L$87,2,FALSE)</f>
        <v>#N/A</v>
      </c>
      <c r="E562" s="523" t="e">
        <f ca="1">VLOOKUP(B562,Calc!$K$88:$L$98,2,FALSE)</f>
        <v>#N/A</v>
      </c>
      <c r="F562" s="523" t="e">
        <f ca="1">IF(Errorhandling!$C$42,INDEX(Calc!$J$99:$J$109,MATCH(Display!B562,Calc!$K$99:$K$109,0),1),#N/A)</f>
        <v>#N/A</v>
      </c>
    </row>
    <row r="563" spans="2:6" x14ac:dyDescent="0.2">
      <c r="B563" s="6">
        <f t="shared" si="12"/>
        <v>560</v>
      </c>
      <c r="C563" s="81" t="e">
        <f ca="1">VLOOKUP(B563,Calc!$K$66:$L$76,2,FALSE)</f>
        <v>#N/A</v>
      </c>
      <c r="D563" s="81" t="e">
        <f ca="1">VLOOKUP(B563,Calc!$K$77:$L$87,2,FALSE)</f>
        <v>#N/A</v>
      </c>
      <c r="E563" s="523" t="e">
        <f ca="1">VLOOKUP(B563,Calc!$K$88:$L$98,2,FALSE)</f>
        <v>#N/A</v>
      </c>
      <c r="F563" s="523" t="e">
        <f ca="1">IF(Errorhandling!$C$42,INDEX(Calc!$J$99:$J$109,MATCH(Display!B563,Calc!$K$99:$K$109,0),1),#N/A)</f>
        <v>#N/A</v>
      </c>
    </row>
    <row r="564" spans="2:6" x14ac:dyDescent="0.2">
      <c r="B564" s="6">
        <f t="shared" si="12"/>
        <v>561</v>
      </c>
      <c r="C564" s="81" t="e">
        <f ca="1">VLOOKUP(B564,Calc!$K$66:$L$76,2,FALSE)</f>
        <v>#N/A</v>
      </c>
      <c r="D564" s="81" t="e">
        <f ca="1">VLOOKUP(B564,Calc!$K$77:$L$87,2,FALSE)</f>
        <v>#N/A</v>
      </c>
      <c r="E564" s="523" t="e">
        <f ca="1">VLOOKUP(B564,Calc!$K$88:$L$98,2,FALSE)</f>
        <v>#N/A</v>
      </c>
      <c r="F564" s="523" t="e">
        <f ca="1">IF(Errorhandling!$C$42,INDEX(Calc!$J$99:$J$109,MATCH(Display!B564,Calc!$K$99:$K$109,0),1),#N/A)</f>
        <v>#N/A</v>
      </c>
    </row>
    <row r="565" spans="2:6" x14ac:dyDescent="0.2">
      <c r="B565" s="6">
        <f t="shared" si="12"/>
        <v>562</v>
      </c>
      <c r="C565" s="81" t="e">
        <f ca="1">VLOOKUP(B565,Calc!$K$66:$L$76,2,FALSE)</f>
        <v>#N/A</v>
      </c>
      <c r="D565" s="81" t="e">
        <f ca="1">VLOOKUP(B565,Calc!$K$77:$L$87,2,FALSE)</f>
        <v>#N/A</v>
      </c>
      <c r="E565" s="523" t="e">
        <f ca="1">VLOOKUP(B565,Calc!$K$88:$L$98,2,FALSE)</f>
        <v>#N/A</v>
      </c>
      <c r="F565" s="523" t="e">
        <f ca="1">IF(Errorhandling!$C$42,INDEX(Calc!$J$99:$J$109,MATCH(Display!B565,Calc!$K$99:$K$109,0),1),#N/A)</f>
        <v>#N/A</v>
      </c>
    </row>
    <row r="566" spans="2:6" x14ac:dyDescent="0.2">
      <c r="B566" s="6">
        <f t="shared" si="12"/>
        <v>563</v>
      </c>
      <c r="C566" s="81" t="e">
        <f ca="1">VLOOKUP(B566,Calc!$K$66:$L$76,2,FALSE)</f>
        <v>#N/A</v>
      </c>
      <c r="D566" s="81" t="e">
        <f ca="1">VLOOKUP(B566,Calc!$K$77:$L$87,2,FALSE)</f>
        <v>#N/A</v>
      </c>
      <c r="E566" s="523" t="e">
        <f ca="1">VLOOKUP(B566,Calc!$K$88:$L$98,2,FALSE)</f>
        <v>#N/A</v>
      </c>
      <c r="F566" s="523" t="e">
        <f ca="1">IF(Errorhandling!$C$42,INDEX(Calc!$J$99:$J$109,MATCH(Display!B566,Calc!$K$99:$K$109,0),1),#N/A)</f>
        <v>#N/A</v>
      </c>
    </row>
    <row r="567" spans="2:6" x14ac:dyDescent="0.2">
      <c r="B567" s="6">
        <f t="shared" si="12"/>
        <v>564</v>
      </c>
      <c r="C567" s="81" t="e">
        <f ca="1">VLOOKUP(B567,Calc!$K$66:$L$76,2,FALSE)</f>
        <v>#N/A</v>
      </c>
      <c r="D567" s="81" t="e">
        <f ca="1">VLOOKUP(B567,Calc!$K$77:$L$87,2,FALSE)</f>
        <v>#N/A</v>
      </c>
      <c r="E567" s="523" t="e">
        <f ca="1">VLOOKUP(B567,Calc!$K$88:$L$98,2,FALSE)</f>
        <v>#N/A</v>
      </c>
      <c r="F567" s="523" t="e">
        <f ca="1">IF(Errorhandling!$C$42,INDEX(Calc!$J$99:$J$109,MATCH(Display!B567,Calc!$K$99:$K$109,0),1),#N/A)</f>
        <v>#N/A</v>
      </c>
    </row>
    <row r="568" spans="2:6" x14ac:dyDescent="0.2">
      <c r="B568" s="6">
        <f t="shared" si="12"/>
        <v>565</v>
      </c>
      <c r="C568" s="81" t="e">
        <f ca="1">VLOOKUP(B568,Calc!$K$66:$L$76,2,FALSE)</f>
        <v>#N/A</v>
      </c>
      <c r="D568" s="81" t="e">
        <f ca="1">VLOOKUP(B568,Calc!$K$77:$L$87,2,FALSE)</f>
        <v>#N/A</v>
      </c>
      <c r="E568" s="523" t="e">
        <f ca="1">VLOOKUP(B568,Calc!$K$88:$L$98,2,FALSE)</f>
        <v>#N/A</v>
      </c>
      <c r="F568" s="523" t="e">
        <f ca="1">IF(Errorhandling!$C$42,INDEX(Calc!$J$99:$J$109,MATCH(Display!B568,Calc!$K$99:$K$109,0),1),#N/A)</f>
        <v>#N/A</v>
      </c>
    </row>
    <row r="569" spans="2:6" x14ac:dyDescent="0.2">
      <c r="B569" s="6">
        <f t="shared" si="12"/>
        <v>566</v>
      </c>
      <c r="C569" s="81" t="e">
        <f ca="1">VLOOKUP(B569,Calc!$K$66:$L$76,2,FALSE)</f>
        <v>#N/A</v>
      </c>
      <c r="D569" s="81" t="e">
        <f ca="1">VLOOKUP(B569,Calc!$K$77:$L$87,2,FALSE)</f>
        <v>#N/A</v>
      </c>
      <c r="E569" s="523" t="e">
        <f ca="1">VLOOKUP(B569,Calc!$K$88:$L$98,2,FALSE)</f>
        <v>#N/A</v>
      </c>
      <c r="F569" s="523" t="e">
        <f ca="1">IF(Errorhandling!$C$42,INDEX(Calc!$J$99:$J$109,MATCH(Display!B569,Calc!$K$99:$K$109,0),1),#N/A)</f>
        <v>#N/A</v>
      </c>
    </row>
    <row r="570" spans="2:6" x14ac:dyDescent="0.2">
      <c r="B570" s="6">
        <f t="shared" si="12"/>
        <v>567</v>
      </c>
      <c r="C570" s="81" t="e">
        <f ca="1">VLOOKUP(B570,Calc!$K$66:$L$76,2,FALSE)</f>
        <v>#N/A</v>
      </c>
      <c r="D570" s="81" t="e">
        <f ca="1">VLOOKUP(B570,Calc!$K$77:$L$87,2,FALSE)</f>
        <v>#N/A</v>
      </c>
      <c r="E570" s="523" t="e">
        <f ca="1">VLOOKUP(B570,Calc!$K$88:$L$98,2,FALSE)</f>
        <v>#N/A</v>
      </c>
      <c r="F570" s="523" t="e">
        <f ca="1">IF(Errorhandling!$C$42,INDEX(Calc!$J$99:$J$109,MATCH(Display!B570,Calc!$K$99:$K$109,0),1),#N/A)</f>
        <v>#N/A</v>
      </c>
    </row>
    <row r="571" spans="2:6" x14ac:dyDescent="0.2">
      <c r="B571" s="6">
        <f t="shared" si="12"/>
        <v>568</v>
      </c>
      <c r="C571" s="81" t="e">
        <f ca="1">VLOOKUP(B571,Calc!$K$66:$L$76,2,FALSE)</f>
        <v>#N/A</v>
      </c>
      <c r="D571" s="81" t="e">
        <f ca="1">VLOOKUP(B571,Calc!$K$77:$L$87,2,FALSE)</f>
        <v>#N/A</v>
      </c>
      <c r="E571" s="523" t="e">
        <f ca="1">VLOOKUP(B571,Calc!$K$88:$L$98,2,FALSE)</f>
        <v>#N/A</v>
      </c>
      <c r="F571" s="523" t="e">
        <f ca="1">IF(Errorhandling!$C$42,INDEX(Calc!$J$99:$J$109,MATCH(Display!B571,Calc!$K$99:$K$109,0),1),#N/A)</f>
        <v>#N/A</v>
      </c>
    </row>
    <row r="572" spans="2:6" x14ac:dyDescent="0.2">
      <c r="B572" s="6">
        <f t="shared" si="12"/>
        <v>569</v>
      </c>
      <c r="C572" s="81" t="e">
        <f ca="1">VLOOKUP(B572,Calc!$K$66:$L$76,2,FALSE)</f>
        <v>#N/A</v>
      </c>
      <c r="D572" s="81" t="e">
        <f ca="1">VLOOKUP(B572,Calc!$K$77:$L$87,2,FALSE)</f>
        <v>#N/A</v>
      </c>
      <c r="E572" s="523" t="e">
        <f ca="1">VLOOKUP(B572,Calc!$K$88:$L$98,2,FALSE)</f>
        <v>#N/A</v>
      </c>
      <c r="F572" s="523" t="e">
        <f ca="1">IF(Errorhandling!$C$42,INDEX(Calc!$J$99:$J$109,MATCH(Display!B572,Calc!$K$99:$K$109,0),1),#N/A)</f>
        <v>#N/A</v>
      </c>
    </row>
    <row r="573" spans="2:6" x14ac:dyDescent="0.2">
      <c r="B573" s="6">
        <f t="shared" si="12"/>
        <v>570</v>
      </c>
      <c r="C573" s="81" t="e">
        <f ca="1">VLOOKUP(B573,Calc!$K$66:$L$76,2,FALSE)</f>
        <v>#N/A</v>
      </c>
      <c r="D573" s="81" t="e">
        <f ca="1">VLOOKUP(B573,Calc!$K$77:$L$87,2,FALSE)</f>
        <v>#N/A</v>
      </c>
      <c r="E573" s="523" t="e">
        <f ca="1">VLOOKUP(B573,Calc!$K$88:$L$98,2,FALSE)</f>
        <v>#N/A</v>
      </c>
      <c r="F573" s="523" t="e">
        <f ca="1">IF(Errorhandling!$C$42,INDEX(Calc!$J$99:$J$109,MATCH(Display!B573,Calc!$K$99:$K$109,0),1),#N/A)</f>
        <v>#N/A</v>
      </c>
    </row>
    <row r="574" spans="2:6" x14ac:dyDescent="0.2">
      <c r="B574" s="6">
        <f t="shared" si="12"/>
        <v>571</v>
      </c>
      <c r="C574" s="81" t="e">
        <f ca="1">VLOOKUP(B574,Calc!$K$66:$L$76,2,FALSE)</f>
        <v>#N/A</v>
      </c>
      <c r="D574" s="81" t="e">
        <f ca="1">VLOOKUP(B574,Calc!$K$77:$L$87,2,FALSE)</f>
        <v>#N/A</v>
      </c>
      <c r="E574" s="523" t="e">
        <f ca="1">VLOOKUP(B574,Calc!$K$88:$L$98,2,FALSE)</f>
        <v>#N/A</v>
      </c>
      <c r="F574" s="523" t="e">
        <f ca="1">IF(Errorhandling!$C$42,INDEX(Calc!$J$99:$J$109,MATCH(Display!B574,Calc!$K$99:$K$109,0),1),#N/A)</f>
        <v>#N/A</v>
      </c>
    </row>
    <row r="575" spans="2:6" x14ac:dyDescent="0.2">
      <c r="B575" s="6">
        <f t="shared" si="12"/>
        <v>572</v>
      </c>
      <c r="C575" s="81" t="e">
        <f ca="1">VLOOKUP(B575,Calc!$K$66:$L$76,2,FALSE)</f>
        <v>#N/A</v>
      </c>
      <c r="D575" s="81" t="e">
        <f ca="1">VLOOKUP(B575,Calc!$K$77:$L$87,2,FALSE)</f>
        <v>#N/A</v>
      </c>
      <c r="E575" s="523" t="e">
        <f ca="1">VLOOKUP(B575,Calc!$K$88:$L$98,2,FALSE)</f>
        <v>#N/A</v>
      </c>
      <c r="F575" s="523" t="e">
        <f ca="1">IF(Errorhandling!$C$42,INDEX(Calc!$J$99:$J$109,MATCH(Display!B575,Calc!$K$99:$K$109,0),1),#N/A)</f>
        <v>#N/A</v>
      </c>
    </row>
    <row r="576" spans="2:6" x14ac:dyDescent="0.2">
      <c r="B576" s="6">
        <f t="shared" si="12"/>
        <v>573</v>
      </c>
      <c r="C576" s="81" t="e">
        <f ca="1">VLOOKUP(B576,Calc!$K$66:$L$76,2,FALSE)</f>
        <v>#N/A</v>
      </c>
      <c r="D576" s="81" t="e">
        <f ca="1">VLOOKUP(B576,Calc!$K$77:$L$87,2,FALSE)</f>
        <v>#N/A</v>
      </c>
      <c r="E576" s="523" t="e">
        <f ca="1">VLOOKUP(B576,Calc!$K$88:$L$98,2,FALSE)</f>
        <v>#N/A</v>
      </c>
      <c r="F576" s="523" t="e">
        <f ca="1">IF(Errorhandling!$C$42,INDEX(Calc!$J$99:$J$109,MATCH(Display!B576,Calc!$K$99:$K$109,0),1),#N/A)</f>
        <v>#N/A</v>
      </c>
    </row>
    <row r="577" spans="2:6" x14ac:dyDescent="0.2">
      <c r="B577" s="6">
        <f t="shared" si="12"/>
        <v>574</v>
      </c>
      <c r="C577" s="81" t="e">
        <f ca="1">VLOOKUP(B577,Calc!$K$66:$L$76,2,FALSE)</f>
        <v>#N/A</v>
      </c>
      <c r="D577" s="81" t="e">
        <f ca="1">VLOOKUP(B577,Calc!$K$77:$L$87,2,FALSE)</f>
        <v>#N/A</v>
      </c>
      <c r="E577" s="523" t="e">
        <f ca="1">VLOOKUP(B577,Calc!$K$88:$L$98,2,FALSE)</f>
        <v>#N/A</v>
      </c>
      <c r="F577" s="523" t="e">
        <f ca="1">IF(Errorhandling!$C$42,INDEX(Calc!$J$99:$J$109,MATCH(Display!B577,Calc!$K$99:$K$109,0),1),#N/A)</f>
        <v>#N/A</v>
      </c>
    </row>
    <row r="578" spans="2:6" x14ac:dyDescent="0.2">
      <c r="B578" s="6">
        <f t="shared" si="12"/>
        <v>575</v>
      </c>
      <c r="C578" s="81" t="e">
        <f ca="1">VLOOKUP(B578,Calc!$K$66:$L$76,2,FALSE)</f>
        <v>#N/A</v>
      </c>
      <c r="D578" s="81" t="e">
        <f ca="1">VLOOKUP(B578,Calc!$K$77:$L$87,2,FALSE)</f>
        <v>#N/A</v>
      </c>
      <c r="E578" s="523" t="e">
        <f ca="1">VLOOKUP(B578,Calc!$K$88:$L$98,2,FALSE)</f>
        <v>#N/A</v>
      </c>
      <c r="F578" s="523" t="e">
        <f ca="1">IF(Errorhandling!$C$42,INDEX(Calc!$J$99:$J$109,MATCH(Display!B578,Calc!$K$99:$K$109,0),1),#N/A)</f>
        <v>#N/A</v>
      </c>
    </row>
    <row r="579" spans="2:6" x14ac:dyDescent="0.2">
      <c r="B579" s="6">
        <f t="shared" si="12"/>
        <v>576</v>
      </c>
      <c r="C579" s="81" t="e">
        <f ca="1">VLOOKUP(B579,Calc!$K$66:$L$76,2,FALSE)</f>
        <v>#N/A</v>
      </c>
      <c r="D579" s="81" t="e">
        <f ca="1">VLOOKUP(B579,Calc!$K$77:$L$87,2,FALSE)</f>
        <v>#N/A</v>
      </c>
      <c r="E579" s="523" t="e">
        <f ca="1">VLOOKUP(B579,Calc!$K$88:$L$98,2,FALSE)</f>
        <v>#N/A</v>
      </c>
      <c r="F579" s="523" t="e">
        <f ca="1">IF(Errorhandling!$C$42,INDEX(Calc!$J$99:$J$109,MATCH(Display!B579,Calc!$K$99:$K$109,0),1),#N/A)</f>
        <v>#N/A</v>
      </c>
    </row>
    <row r="580" spans="2:6" x14ac:dyDescent="0.2">
      <c r="B580" s="6">
        <f t="shared" si="12"/>
        <v>577</v>
      </c>
      <c r="C580" s="81" t="e">
        <f ca="1">VLOOKUP(B580,Calc!$K$66:$L$76,2,FALSE)</f>
        <v>#N/A</v>
      </c>
      <c r="D580" s="81" t="e">
        <f ca="1">VLOOKUP(B580,Calc!$K$77:$L$87,2,FALSE)</f>
        <v>#N/A</v>
      </c>
      <c r="E580" s="523" t="e">
        <f ca="1">VLOOKUP(B580,Calc!$K$88:$L$98,2,FALSE)</f>
        <v>#N/A</v>
      </c>
      <c r="F580" s="523" t="e">
        <f ca="1">IF(Errorhandling!$C$42,INDEX(Calc!$J$99:$J$109,MATCH(Display!B580,Calc!$K$99:$K$109,0),1),#N/A)</f>
        <v>#N/A</v>
      </c>
    </row>
    <row r="581" spans="2:6" x14ac:dyDescent="0.2">
      <c r="B581" s="6">
        <f t="shared" si="12"/>
        <v>578</v>
      </c>
      <c r="C581" s="81" t="e">
        <f ca="1">VLOOKUP(B581,Calc!$K$66:$L$76,2,FALSE)</f>
        <v>#N/A</v>
      </c>
      <c r="D581" s="81" t="e">
        <f ca="1">VLOOKUP(B581,Calc!$K$77:$L$87,2,FALSE)</f>
        <v>#N/A</v>
      </c>
      <c r="E581" s="523" t="e">
        <f ca="1">VLOOKUP(B581,Calc!$K$88:$L$98,2,FALSE)</f>
        <v>#N/A</v>
      </c>
      <c r="F581" s="523" t="e">
        <f ca="1">IF(Errorhandling!$C$42,INDEX(Calc!$J$99:$J$109,MATCH(Display!B581,Calc!$K$99:$K$109,0),1),#N/A)</f>
        <v>#N/A</v>
      </c>
    </row>
    <row r="582" spans="2:6" x14ac:dyDescent="0.2">
      <c r="B582" s="6">
        <f t="shared" si="12"/>
        <v>579</v>
      </c>
      <c r="C582" s="81" t="e">
        <f ca="1">VLOOKUP(B582,Calc!$K$66:$L$76,2,FALSE)</f>
        <v>#N/A</v>
      </c>
      <c r="D582" s="81" t="e">
        <f ca="1">VLOOKUP(B582,Calc!$K$77:$L$87,2,FALSE)</f>
        <v>#N/A</v>
      </c>
      <c r="E582" s="523" t="e">
        <f ca="1">VLOOKUP(B582,Calc!$K$88:$L$98,2,FALSE)</f>
        <v>#N/A</v>
      </c>
      <c r="F582" s="523" t="e">
        <f ca="1">IF(Errorhandling!$C$42,INDEX(Calc!$J$99:$J$109,MATCH(Display!B582,Calc!$K$99:$K$109,0),1),#N/A)</f>
        <v>#N/A</v>
      </c>
    </row>
    <row r="583" spans="2:6" x14ac:dyDescent="0.2">
      <c r="B583" s="6">
        <f t="shared" ref="B583:B646" si="13">1+B582</f>
        <v>580</v>
      </c>
      <c r="C583" s="81" t="e">
        <f ca="1">VLOOKUP(B583,Calc!$K$66:$L$76,2,FALSE)</f>
        <v>#N/A</v>
      </c>
      <c r="D583" s="81" t="e">
        <f ca="1">VLOOKUP(B583,Calc!$K$77:$L$87,2,FALSE)</f>
        <v>#N/A</v>
      </c>
      <c r="E583" s="523" t="e">
        <f ca="1">VLOOKUP(B583,Calc!$K$88:$L$98,2,FALSE)</f>
        <v>#N/A</v>
      </c>
      <c r="F583" s="523" t="e">
        <f ca="1">IF(Errorhandling!$C$42,INDEX(Calc!$J$99:$J$109,MATCH(Display!B583,Calc!$K$99:$K$109,0),1),#N/A)</f>
        <v>#N/A</v>
      </c>
    </row>
    <row r="584" spans="2:6" x14ac:dyDescent="0.2">
      <c r="B584" s="6">
        <f t="shared" si="13"/>
        <v>581</v>
      </c>
      <c r="C584" s="81" t="e">
        <f ca="1">VLOOKUP(B584,Calc!$K$66:$L$76,2,FALSE)</f>
        <v>#N/A</v>
      </c>
      <c r="D584" s="81" t="e">
        <f ca="1">VLOOKUP(B584,Calc!$K$77:$L$87,2,FALSE)</f>
        <v>#N/A</v>
      </c>
      <c r="E584" s="523" t="e">
        <f ca="1">VLOOKUP(B584,Calc!$K$88:$L$98,2,FALSE)</f>
        <v>#N/A</v>
      </c>
      <c r="F584" s="523" t="e">
        <f ca="1">IF(Errorhandling!$C$42,INDEX(Calc!$J$99:$J$109,MATCH(Display!B584,Calc!$K$99:$K$109,0),1),#N/A)</f>
        <v>#N/A</v>
      </c>
    </row>
    <row r="585" spans="2:6" x14ac:dyDescent="0.2">
      <c r="B585" s="6">
        <f t="shared" si="13"/>
        <v>582</v>
      </c>
      <c r="C585" s="81" t="e">
        <f ca="1">VLOOKUP(B585,Calc!$K$66:$L$76,2,FALSE)</f>
        <v>#N/A</v>
      </c>
      <c r="D585" s="81" t="e">
        <f ca="1">VLOOKUP(B585,Calc!$K$77:$L$87,2,FALSE)</f>
        <v>#N/A</v>
      </c>
      <c r="E585" s="523" t="e">
        <f ca="1">VLOOKUP(B585,Calc!$K$88:$L$98,2,FALSE)</f>
        <v>#N/A</v>
      </c>
      <c r="F585" s="523" t="e">
        <f ca="1">IF(Errorhandling!$C$42,INDEX(Calc!$J$99:$J$109,MATCH(Display!B585,Calc!$K$99:$K$109,0),1),#N/A)</f>
        <v>#N/A</v>
      </c>
    </row>
    <row r="586" spans="2:6" x14ac:dyDescent="0.2">
      <c r="B586" s="6">
        <f t="shared" si="13"/>
        <v>583</v>
      </c>
      <c r="C586" s="81" t="e">
        <f ca="1">VLOOKUP(B586,Calc!$K$66:$L$76,2,FALSE)</f>
        <v>#N/A</v>
      </c>
      <c r="D586" s="81" t="e">
        <f ca="1">VLOOKUP(B586,Calc!$K$77:$L$87,2,FALSE)</f>
        <v>#N/A</v>
      </c>
      <c r="E586" s="523" t="e">
        <f ca="1">VLOOKUP(B586,Calc!$K$88:$L$98,2,FALSE)</f>
        <v>#N/A</v>
      </c>
      <c r="F586" s="523" t="e">
        <f ca="1">IF(Errorhandling!$C$42,INDEX(Calc!$J$99:$J$109,MATCH(Display!B586,Calc!$K$99:$K$109,0),1),#N/A)</f>
        <v>#N/A</v>
      </c>
    </row>
    <row r="587" spans="2:6" x14ac:dyDescent="0.2">
      <c r="B587" s="6">
        <f t="shared" si="13"/>
        <v>584</v>
      </c>
      <c r="C587" s="81" t="e">
        <f ca="1">VLOOKUP(B587,Calc!$K$66:$L$76,2,FALSE)</f>
        <v>#N/A</v>
      </c>
      <c r="D587" s="81" t="e">
        <f ca="1">VLOOKUP(B587,Calc!$K$77:$L$87,2,FALSE)</f>
        <v>#N/A</v>
      </c>
      <c r="E587" s="523" t="e">
        <f ca="1">VLOOKUP(B587,Calc!$K$88:$L$98,2,FALSE)</f>
        <v>#N/A</v>
      </c>
      <c r="F587" s="523" t="e">
        <f ca="1">IF(Errorhandling!$C$42,INDEX(Calc!$J$99:$J$109,MATCH(Display!B587,Calc!$K$99:$K$109,0),1),#N/A)</f>
        <v>#N/A</v>
      </c>
    </row>
    <row r="588" spans="2:6" x14ac:dyDescent="0.2">
      <c r="B588" s="6">
        <f t="shared" si="13"/>
        <v>585</v>
      </c>
      <c r="C588" s="81" t="e">
        <f ca="1">VLOOKUP(B588,Calc!$K$66:$L$76,2,FALSE)</f>
        <v>#N/A</v>
      </c>
      <c r="D588" s="81" t="e">
        <f ca="1">VLOOKUP(B588,Calc!$K$77:$L$87,2,FALSE)</f>
        <v>#N/A</v>
      </c>
      <c r="E588" s="523">
        <f ca="1">VLOOKUP(B588,Calc!$K$88:$L$98,2,FALSE)</f>
        <v>218.59353356680251</v>
      </c>
      <c r="F588" s="523">
        <f ca="1">IF(Errorhandling!$C$42,INDEX(Calc!$J$99:$J$109,MATCH(Display!B588,Calc!$K$99:$K$109,0),1),#N/A)</f>
        <v>3.0877157317486264E-5</v>
      </c>
    </row>
    <row r="589" spans="2:6" x14ac:dyDescent="0.2">
      <c r="B589" s="6">
        <f t="shared" si="13"/>
        <v>586</v>
      </c>
      <c r="C589" s="81" t="e">
        <f ca="1">VLOOKUP(B589,Calc!$K$66:$L$76,2,FALSE)</f>
        <v>#N/A</v>
      </c>
      <c r="D589" s="81" t="e">
        <f ca="1">VLOOKUP(B589,Calc!$K$77:$L$87,2,FALSE)</f>
        <v>#N/A</v>
      </c>
      <c r="E589" s="523" t="e">
        <f ca="1">VLOOKUP(B589,Calc!$K$88:$L$98,2,FALSE)</f>
        <v>#N/A</v>
      </c>
      <c r="F589" s="523" t="e">
        <f ca="1">IF(Errorhandling!$C$42,INDEX(Calc!$J$99:$J$109,MATCH(Display!B589,Calc!$K$99:$K$109,0),1),#N/A)</f>
        <v>#N/A</v>
      </c>
    </row>
    <row r="590" spans="2:6" x14ac:dyDescent="0.2">
      <c r="B590" s="6">
        <f t="shared" si="13"/>
        <v>587</v>
      </c>
      <c r="C590" s="81" t="e">
        <f ca="1">VLOOKUP(B590,Calc!$K$66:$L$76,2,FALSE)</f>
        <v>#N/A</v>
      </c>
      <c r="D590" s="81" t="e">
        <f ca="1">VLOOKUP(B590,Calc!$K$77:$L$87,2,FALSE)</f>
        <v>#N/A</v>
      </c>
      <c r="E590" s="523" t="e">
        <f ca="1">VLOOKUP(B590,Calc!$K$88:$L$98,2,FALSE)</f>
        <v>#N/A</v>
      </c>
      <c r="F590" s="523" t="e">
        <f ca="1">IF(Errorhandling!$C$42,INDEX(Calc!$J$99:$J$109,MATCH(Display!B590,Calc!$K$99:$K$109,0),1),#N/A)</f>
        <v>#N/A</v>
      </c>
    </row>
    <row r="591" spans="2:6" x14ac:dyDescent="0.2">
      <c r="B591" s="6">
        <f t="shared" si="13"/>
        <v>588</v>
      </c>
      <c r="C591" s="81" t="e">
        <f ca="1">VLOOKUP(B591,Calc!$K$66:$L$76,2,FALSE)</f>
        <v>#N/A</v>
      </c>
      <c r="D591" s="81" t="e">
        <f ca="1">VLOOKUP(B591,Calc!$K$77:$L$87,2,FALSE)</f>
        <v>#N/A</v>
      </c>
      <c r="E591" s="523" t="e">
        <f ca="1">VLOOKUP(B591,Calc!$K$88:$L$98,2,FALSE)</f>
        <v>#N/A</v>
      </c>
      <c r="F591" s="523" t="e">
        <f ca="1">IF(Errorhandling!$C$42,INDEX(Calc!$J$99:$J$109,MATCH(Display!B591,Calc!$K$99:$K$109,0),1),#N/A)</f>
        <v>#N/A</v>
      </c>
    </row>
    <row r="592" spans="2:6" x14ac:dyDescent="0.2">
      <c r="B592" s="6">
        <f t="shared" si="13"/>
        <v>589</v>
      </c>
      <c r="C592" s="81" t="e">
        <f ca="1">VLOOKUP(B592,Calc!$K$66:$L$76,2,FALSE)</f>
        <v>#N/A</v>
      </c>
      <c r="D592" s="81" t="e">
        <f ca="1">VLOOKUP(B592,Calc!$K$77:$L$87,2,FALSE)</f>
        <v>#N/A</v>
      </c>
      <c r="E592" s="523" t="e">
        <f ca="1">VLOOKUP(B592,Calc!$K$88:$L$98,2,FALSE)</f>
        <v>#N/A</v>
      </c>
      <c r="F592" s="523" t="e">
        <f ca="1">IF(Errorhandling!$C$42,INDEX(Calc!$J$99:$J$109,MATCH(Display!B592,Calc!$K$99:$K$109,0),1),#N/A)</f>
        <v>#N/A</v>
      </c>
    </row>
    <row r="593" spans="2:6" x14ac:dyDescent="0.2">
      <c r="B593" s="6">
        <f t="shared" si="13"/>
        <v>590</v>
      </c>
      <c r="C593" s="81" t="e">
        <f ca="1">VLOOKUP(B593,Calc!$K$66:$L$76,2,FALSE)</f>
        <v>#N/A</v>
      </c>
      <c r="D593" s="81" t="e">
        <f ca="1">VLOOKUP(B593,Calc!$K$77:$L$87,2,FALSE)</f>
        <v>#N/A</v>
      </c>
      <c r="E593" s="523" t="e">
        <f ca="1">VLOOKUP(B593,Calc!$K$88:$L$98,2,FALSE)</f>
        <v>#N/A</v>
      </c>
      <c r="F593" s="523" t="e">
        <f ca="1">IF(Errorhandling!$C$42,INDEX(Calc!$J$99:$J$109,MATCH(Display!B593,Calc!$K$99:$K$109,0),1),#N/A)</f>
        <v>#N/A</v>
      </c>
    </row>
    <row r="594" spans="2:6" x14ac:dyDescent="0.2">
      <c r="B594" s="6">
        <f t="shared" si="13"/>
        <v>591</v>
      </c>
      <c r="C594" s="81" t="e">
        <f ca="1">VLOOKUP(B594,Calc!$K$66:$L$76,2,FALSE)</f>
        <v>#N/A</v>
      </c>
      <c r="D594" s="81" t="e">
        <f ca="1">VLOOKUP(B594,Calc!$K$77:$L$87,2,FALSE)</f>
        <v>#N/A</v>
      </c>
      <c r="E594" s="523" t="e">
        <f ca="1">VLOOKUP(B594,Calc!$K$88:$L$98,2,FALSE)</f>
        <v>#N/A</v>
      </c>
      <c r="F594" s="523" t="e">
        <f ca="1">IF(Errorhandling!$C$42,INDEX(Calc!$J$99:$J$109,MATCH(Display!B594,Calc!$K$99:$K$109,0),1),#N/A)</f>
        <v>#N/A</v>
      </c>
    </row>
    <row r="595" spans="2:6" x14ac:dyDescent="0.2">
      <c r="B595" s="6">
        <f t="shared" si="13"/>
        <v>592</v>
      </c>
      <c r="C595" s="81" t="e">
        <f ca="1">VLOOKUP(B595,Calc!$K$66:$L$76,2,FALSE)</f>
        <v>#N/A</v>
      </c>
      <c r="D595" s="81" t="e">
        <f ca="1">VLOOKUP(B595,Calc!$K$77:$L$87,2,FALSE)</f>
        <v>#N/A</v>
      </c>
      <c r="E595" s="523" t="e">
        <f ca="1">VLOOKUP(B595,Calc!$K$88:$L$98,2,FALSE)</f>
        <v>#N/A</v>
      </c>
      <c r="F595" s="523" t="e">
        <f ca="1">IF(Errorhandling!$C$42,INDEX(Calc!$J$99:$J$109,MATCH(Display!B595,Calc!$K$99:$K$109,0),1),#N/A)</f>
        <v>#N/A</v>
      </c>
    </row>
    <row r="596" spans="2:6" x14ac:dyDescent="0.2">
      <c r="B596" s="6">
        <f t="shared" si="13"/>
        <v>593</v>
      </c>
      <c r="C596" s="81" t="e">
        <f ca="1">VLOOKUP(B596,Calc!$K$66:$L$76,2,FALSE)</f>
        <v>#N/A</v>
      </c>
      <c r="D596" s="81" t="e">
        <f ca="1">VLOOKUP(B596,Calc!$K$77:$L$87,2,FALSE)</f>
        <v>#N/A</v>
      </c>
      <c r="E596" s="523" t="e">
        <f ca="1">VLOOKUP(B596,Calc!$K$88:$L$98,2,FALSE)</f>
        <v>#N/A</v>
      </c>
      <c r="F596" s="523" t="e">
        <f ca="1">IF(Errorhandling!$C$42,INDEX(Calc!$J$99:$J$109,MATCH(Display!B596,Calc!$K$99:$K$109,0),1),#N/A)</f>
        <v>#N/A</v>
      </c>
    </row>
    <row r="597" spans="2:6" x14ac:dyDescent="0.2">
      <c r="B597" s="6">
        <f t="shared" si="13"/>
        <v>594</v>
      </c>
      <c r="C597" s="81" t="e">
        <f ca="1">VLOOKUP(B597,Calc!$K$66:$L$76,2,FALSE)</f>
        <v>#N/A</v>
      </c>
      <c r="D597" s="81" t="e">
        <f ca="1">VLOOKUP(B597,Calc!$K$77:$L$87,2,FALSE)</f>
        <v>#N/A</v>
      </c>
      <c r="E597" s="523" t="e">
        <f ca="1">VLOOKUP(B597,Calc!$K$88:$L$98,2,FALSE)</f>
        <v>#N/A</v>
      </c>
      <c r="F597" s="523" t="e">
        <f ca="1">IF(Errorhandling!$C$42,INDEX(Calc!$J$99:$J$109,MATCH(Display!B597,Calc!$K$99:$K$109,0),1),#N/A)</f>
        <v>#N/A</v>
      </c>
    </row>
    <row r="598" spans="2:6" x14ac:dyDescent="0.2">
      <c r="B598" s="6">
        <f t="shared" si="13"/>
        <v>595</v>
      </c>
      <c r="C598" s="81" t="e">
        <f ca="1">VLOOKUP(B598,Calc!$K$66:$L$76,2,FALSE)</f>
        <v>#N/A</v>
      </c>
      <c r="D598" s="81" t="e">
        <f ca="1">VLOOKUP(B598,Calc!$K$77:$L$87,2,FALSE)</f>
        <v>#N/A</v>
      </c>
      <c r="E598" s="523" t="e">
        <f ca="1">VLOOKUP(B598,Calc!$K$88:$L$98,2,FALSE)</f>
        <v>#N/A</v>
      </c>
      <c r="F598" s="523" t="e">
        <f ca="1">IF(Errorhandling!$C$42,INDEX(Calc!$J$99:$J$109,MATCH(Display!B598,Calc!$K$99:$K$109,0),1),#N/A)</f>
        <v>#N/A</v>
      </c>
    </row>
    <row r="599" spans="2:6" x14ac:dyDescent="0.2">
      <c r="B599" s="6">
        <f t="shared" si="13"/>
        <v>596</v>
      </c>
      <c r="C599" s="81" t="e">
        <f ca="1">VLOOKUP(B599,Calc!$K$66:$L$76,2,FALSE)</f>
        <v>#N/A</v>
      </c>
      <c r="D599" s="81" t="e">
        <f ca="1">VLOOKUP(B599,Calc!$K$77:$L$87,2,FALSE)</f>
        <v>#N/A</v>
      </c>
      <c r="E599" s="523" t="e">
        <f ca="1">VLOOKUP(B599,Calc!$K$88:$L$98,2,FALSE)</f>
        <v>#N/A</v>
      </c>
      <c r="F599" s="523" t="e">
        <f ca="1">IF(Errorhandling!$C$42,INDEX(Calc!$J$99:$J$109,MATCH(Display!B599,Calc!$K$99:$K$109,0),1),#N/A)</f>
        <v>#N/A</v>
      </c>
    </row>
    <row r="600" spans="2:6" x14ac:dyDescent="0.2">
      <c r="B600" s="6">
        <f t="shared" si="13"/>
        <v>597</v>
      </c>
      <c r="C600" s="81" t="e">
        <f ca="1">VLOOKUP(B600,Calc!$K$66:$L$76,2,FALSE)</f>
        <v>#N/A</v>
      </c>
      <c r="D600" s="81" t="e">
        <f ca="1">VLOOKUP(B600,Calc!$K$77:$L$87,2,FALSE)</f>
        <v>#N/A</v>
      </c>
      <c r="E600" s="523" t="e">
        <f ca="1">VLOOKUP(B600,Calc!$K$88:$L$98,2,FALSE)</f>
        <v>#N/A</v>
      </c>
      <c r="F600" s="523" t="e">
        <f ca="1">IF(Errorhandling!$C$42,INDEX(Calc!$J$99:$J$109,MATCH(Display!B600,Calc!$K$99:$K$109,0),1),#N/A)</f>
        <v>#N/A</v>
      </c>
    </row>
    <row r="601" spans="2:6" x14ac:dyDescent="0.2">
      <c r="B601" s="6">
        <f t="shared" si="13"/>
        <v>598</v>
      </c>
      <c r="C601" s="81" t="e">
        <f ca="1">VLOOKUP(B601,Calc!$K$66:$L$76,2,FALSE)</f>
        <v>#N/A</v>
      </c>
      <c r="D601" s="81" t="e">
        <f ca="1">VLOOKUP(B601,Calc!$K$77:$L$87,2,FALSE)</f>
        <v>#N/A</v>
      </c>
      <c r="E601" s="523" t="e">
        <f ca="1">VLOOKUP(B601,Calc!$K$88:$L$98,2,FALSE)</f>
        <v>#N/A</v>
      </c>
      <c r="F601" s="523" t="e">
        <f ca="1">IF(Errorhandling!$C$42,INDEX(Calc!$J$99:$J$109,MATCH(Display!B601,Calc!$K$99:$K$109,0),1),#N/A)</f>
        <v>#N/A</v>
      </c>
    </row>
    <row r="602" spans="2:6" x14ac:dyDescent="0.2">
      <c r="B602" s="6">
        <f t="shared" si="13"/>
        <v>599</v>
      </c>
      <c r="C602" s="81" t="e">
        <f ca="1">VLOOKUP(B602,Calc!$K$66:$L$76,2,FALSE)</f>
        <v>#N/A</v>
      </c>
      <c r="D602" s="81" t="e">
        <f ca="1">VLOOKUP(B602,Calc!$K$77:$L$87,2,FALSE)</f>
        <v>#N/A</v>
      </c>
      <c r="E602" s="523" t="e">
        <f ca="1">VLOOKUP(B602,Calc!$K$88:$L$98,2,FALSE)</f>
        <v>#N/A</v>
      </c>
      <c r="F602" s="523" t="e">
        <f ca="1">IF(Errorhandling!$C$42,INDEX(Calc!$J$99:$J$109,MATCH(Display!B602,Calc!$K$99:$K$109,0),1),#N/A)</f>
        <v>#N/A</v>
      </c>
    </row>
    <row r="603" spans="2:6" x14ac:dyDescent="0.2">
      <c r="B603" s="6">
        <f t="shared" si="13"/>
        <v>600</v>
      </c>
      <c r="C603" s="81" t="e">
        <f ca="1">VLOOKUP(B603,Calc!$K$66:$L$76,2,FALSE)</f>
        <v>#N/A</v>
      </c>
      <c r="D603" s="81" t="e">
        <f ca="1">VLOOKUP(B603,Calc!$K$77:$L$87,2,FALSE)</f>
        <v>#N/A</v>
      </c>
      <c r="E603" s="523" t="e">
        <f ca="1">VLOOKUP(B603,Calc!$K$88:$L$98,2,FALSE)</f>
        <v>#N/A</v>
      </c>
      <c r="F603" s="523" t="e">
        <f ca="1">IF(Errorhandling!$C$42,INDEX(Calc!$J$99:$J$109,MATCH(Display!B603,Calc!$K$99:$K$109,0),1),#N/A)</f>
        <v>#N/A</v>
      </c>
    </row>
    <row r="604" spans="2:6" x14ac:dyDescent="0.2">
      <c r="B604" s="6">
        <f t="shared" si="13"/>
        <v>601</v>
      </c>
      <c r="C604" s="81" t="e">
        <f ca="1">VLOOKUP(B604,Calc!$K$66:$L$76,2,FALSE)</f>
        <v>#N/A</v>
      </c>
      <c r="D604" s="81" t="e">
        <f ca="1">VLOOKUP(B604,Calc!$K$77:$L$87,2,FALSE)</f>
        <v>#N/A</v>
      </c>
      <c r="E604" s="523" t="e">
        <f ca="1">VLOOKUP(B604,Calc!$K$88:$L$98,2,FALSE)</f>
        <v>#N/A</v>
      </c>
      <c r="F604" s="523" t="e">
        <f ca="1">IF(Errorhandling!$C$42,INDEX(Calc!$J$99:$J$109,MATCH(Display!B604,Calc!$K$99:$K$109,0),1),#N/A)</f>
        <v>#N/A</v>
      </c>
    </row>
    <row r="605" spans="2:6" x14ac:dyDescent="0.2">
      <c r="B605" s="6">
        <f t="shared" si="13"/>
        <v>602</v>
      </c>
      <c r="C605" s="81" t="e">
        <f ca="1">VLOOKUP(B605,Calc!$K$66:$L$76,2,FALSE)</f>
        <v>#N/A</v>
      </c>
      <c r="D605" s="81" t="e">
        <f ca="1">VLOOKUP(B605,Calc!$K$77:$L$87,2,FALSE)</f>
        <v>#N/A</v>
      </c>
      <c r="E605" s="523" t="e">
        <f ca="1">VLOOKUP(B605,Calc!$K$88:$L$98,2,FALSE)</f>
        <v>#N/A</v>
      </c>
      <c r="F605" s="523" t="e">
        <f ca="1">IF(Errorhandling!$C$42,INDEX(Calc!$J$99:$J$109,MATCH(Display!B605,Calc!$K$99:$K$109,0),1),#N/A)</f>
        <v>#N/A</v>
      </c>
    </row>
    <row r="606" spans="2:6" x14ac:dyDescent="0.2">
      <c r="B606" s="6">
        <f t="shared" si="13"/>
        <v>603</v>
      </c>
      <c r="C606" s="81" t="e">
        <f ca="1">VLOOKUP(B606,Calc!$K$66:$L$76,2,FALSE)</f>
        <v>#N/A</v>
      </c>
      <c r="D606" s="81" t="e">
        <f ca="1">VLOOKUP(B606,Calc!$K$77:$L$87,2,FALSE)</f>
        <v>#N/A</v>
      </c>
      <c r="E606" s="523" t="e">
        <f ca="1">VLOOKUP(B606,Calc!$K$88:$L$98,2,FALSE)</f>
        <v>#N/A</v>
      </c>
      <c r="F606" s="523" t="e">
        <f ca="1">IF(Errorhandling!$C$42,INDEX(Calc!$J$99:$J$109,MATCH(Display!B606,Calc!$K$99:$K$109,0),1),#N/A)</f>
        <v>#N/A</v>
      </c>
    </row>
    <row r="607" spans="2:6" x14ac:dyDescent="0.2">
      <c r="B607" s="6">
        <f t="shared" si="13"/>
        <v>604</v>
      </c>
      <c r="C607" s="81" t="e">
        <f ca="1">VLOOKUP(B607,Calc!$K$66:$L$76,2,FALSE)</f>
        <v>#N/A</v>
      </c>
      <c r="D607" s="81" t="e">
        <f ca="1">VLOOKUP(B607,Calc!$K$77:$L$87,2,FALSE)</f>
        <v>#N/A</v>
      </c>
      <c r="E607" s="523" t="e">
        <f ca="1">VLOOKUP(B607,Calc!$K$88:$L$98,2,FALSE)</f>
        <v>#N/A</v>
      </c>
      <c r="F607" s="523" t="e">
        <f ca="1">IF(Errorhandling!$C$42,INDEX(Calc!$J$99:$J$109,MATCH(Display!B607,Calc!$K$99:$K$109,0),1),#N/A)</f>
        <v>#N/A</v>
      </c>
    </row>
    <row r="608" spans="2:6" x14ac:dyDescent="0.2">
      <c r="B608" s="6">
        <f t="shared" si="13"/>
        <v>605</v>
      </c>
      <c r="C608" s="81" t="e">
        <f ca="1">VLOOKUP(B608,Calc!$K$66:$L$76,2,FALSE)</f>
        <v>#N/A</v>
      </c>
      <c r="D608" s="81" t="e">
        <f ca="1">VLOOKUP(B608,Calc!$K$77:$L$87,2,FALSE)</f>
        <v>#N/A</v>
      </c>
      <c r="E608" s="523" t="e">
        <f ca="1">VLOOKUP(B608,Calc!$K$88:$L$98,2,FALSE)</f>
        <v>#N/A</v>
      </c>
      <c r="F608" s="523" t="e">
        <f ca="1">IF(Errorhandling!$C$42,INDEX(Calc!$J$99:$J$109,MATCH(Display!B608,Calc!$K$99:$K$109,0),1),#N/A)</f>
        <v>#N/A</v>
      </c>
    </row>
    <row r="609" spans="2:6" x14ac:dyDescent="0.2">
      <c r="B609" s="6">
        <f t="shared" si="13"/>
        <v>606</v>
      </c>
      <c r="C609" s="81" t="e">
        <f ca="1">VLOOKUP(B609,Calc!$K$66:$L$76,2,FALSE)</f>
        <v>#N/A</v>
      </c>
      <c r="D609" s="81" t="e">
        <f ca="1">VLOOKUP(B609,Calc!$K$77:$L$87,2,FALSE)</f>
        <v>#N/A</v>
      </c>
      <c r="E609" s="523" t="e">
        <f ca="1">VLOOKUP(B609,Calc!$K$88:$L$98,2,FALSE)</f>
        <v>#N/A</v>
      </c>
      <c r="F609" s="523" t="e">
        <f ca="1">IF(Errorhandling!$C$42,INDEX(Calc!$J$99:$J$109,MATCH(Display!B609,Calc!$K$99:$K$109,0),1),#N/A)</f>
        <v>#N/A</v>
      </c>
    </row>
    <row r="610" spans="2:6" x14ac:dyDescent="0.2">
      <c r="B610" s="6">
        <f t="shared" si="13"/>
        <v>607</v>
      </c>
      <c r="C610" s="81" t="e">
        <f ca="1">VLOOKUP(B610,Calc!$K$66:$L$76,2,FALSE)</f>
        <v>#N/A</v>
      </c>
      <c r="D610" s="81" t="e">
        <f ca="1">VLOOKUP(B610,Calc!$K$77:$L$87,2,FALSE)</f>
        <v>#N/A</v>
      </c>
      <c r="E610" s="523" t="e">
        <f ca="1">VLOOKUP(B610,Calc!$K$88:$L$98,2,FALSE)</f>
        <v>#N/A</v>
      </c>
      <c r="F610" s="523" t="e">
        <f ca="1">IF(Errorhandling!$C$42,INDEX(Calc!$J$99:$J$109,MATCH(Display!B610,Calc!$K$99:$K$109,0),1),#N/A)</f>
        <v>#N/A</v>
      </c>
    </row>
    <row r="611" spans="2:6" x14ac:dyDescent="0.2">
      <c r="B611" s="6">
        <f t="shared" si="13"/>
        <v>608</v>
      </c>
      <c r="C611" s="81" t="e">
        <f ca="1">VLOOKUP(B611,Calc!$K$66:$L$76,2,FALSE)</f>
        <v>#N/A</v>
      </c>
      <c r="D611" s="81" t="e">
        <f ca="1">VLOOKUP(B611,Calc!$K$77:$L$87,2,FALSE)</f>
        <v>#N/A</v>
      </c>
      <c r="E611" s="523" t="e">
        <f ca="1">VLOOKUP(B611,Calc!$K$88:$L$98,2,FALSE)</f>
        <v>#N/A</v>
      </c>
      <c r="F611" s="523" t="e">
        <f ca="1">IF(Errorhandling!$C$42,INDEX(Calc!$J$99:$J$109,MATCH(Display!B611,Calc!$K$99:$K$109,0),1),#N/A)</f>
        <v>#N/A</v>
      </c>
    </row>
    <row r="612" spans="2:6" x14ac:dyDescent="0.2">
      <c r="B612" s="6">
        <f t="shared" si="13"/>
        <v>609</v>
      </c>
      <c r="C612" s="81" t="e">
        <f ca="1">VLOOKUP(B612,Calc!$K$66:$L$76,2,FALSE)</f>
        <v>#N/A</v>
      </c>
      <c r="D612" s="81" t="e">
        <f ca="1">VLOOKUP(B612,Calc!$K$77:$L$87,2,FALSE)</f>
        <v>#N/A</v>
      </c>
      <c r="E612" s="523" t="e">
        <f ca="1">VLOOKUP(B612,Calc!$K$88:$L$98,2,FALSE)</f>
        <v>#N/A</v>
      </c>
      <c r="F612" s="523" t="e">
        <f ca="1">IF(Errorhandling!$C$42,INDEX(Calc!$J$99:$J$109,MATCH(Display!B612,Calc!$K$99:$K$109,0),1),#N/A)</f>
        <v>#N/A</v>
      </c>
    </row>
    <row r="613" spans="2:6" x14ac:dyDescent="0.2">
      <c r="B613" s="6">
        <f t="shared" si="13"/>
        <v>610</v>
      </c>
      <c r="C613" s="81" t="e">
        <f ca="1">VLOOKUP(B613,Calc!$K$66:$L$76,2,FALSE)</f>
        <v>#N/A</v>
      </c>
      <c r="D613" s="81" t="e">
        <f ca="1">VLOOKUP(B613,Calc!$K$77:$L$87,2,FALSE)</f>
        <v>#N/A</v>
      </c>
      <c r="E613" s="523" t="e">
        <f ca="1">VLOOKUP(B613,Calc!$K$88:$L$98,2,FALSE)</f>
        <v>#N/A</v>
      </c>
      <c r="F613" s="523" t="e">
        <f ca="1">IF(Errorhandling!$C$42,INDEX(Calc!$J$99:$J$109,MATCH(Display!B613,Calc!$K$99:$K$109,0),1),#N/A)</f>
        <v>#N/A</v>
      </c>
    </row>
    <row r="614" spans="2:6" x14ac:dyDescent="0.2">
      <c r="B614" s="6">
        <f t="shared" si="13"/>
        <v>611</v>
      </c>
      <c r="C614" s="81" t="e">
        <f ca="1">VLOOKUP(B614,Calc!$K$66:$L$76,2,FALSE)</f>
        <v>#N/A</v>
      </c>
      <c r="D614" s="81" t="e">
        <f ca="1">VLOOKUP(B614,Calc!$K$77:$L$87,2,FALSE)</f>
        <v>#N/A</v>
      </c>
      <c r="E614" s="523" t="e">
        <f ca="1">VLOOKUP(B614,Calc!$K$88:$L$98,2,FALSE)</f>
        <v>#N/A</v>
      </c>
      <c r="F614" s="523" t="e">
        <f ca="1">IF(Errorhandling!$C$42,INDEX(Calc!$J$99:$J$109,MATCH(Display!B614,Calc!$K$99:$K$109,0),1),#N/A)</f>
        <v>#N/A</v>
      </c>
    </row>
    <row r="615" spans="2:6" x14ac:dyDescent="0.2">
      <c r="B615" s="6">
        <f t="shared" si="13"/>
        <v>612</v>
      </c>
      <c r="C615" s="81" t="e">
        <f ca="1">VLOOKUP(B615,Calc!$K$66:$L$76,2,FALSE)</f>
        <v>#N/A</v>
      </c>
      <c r="D615" s="81" t="e">
        <f ca="1">VLOOKUP(B615,Calc!$K$77:$L$87,2,FALSE)</f>
        <v>#N/A</v>
      </c>
      <c r="E615" s="523" t="e">
        <f ca="1">VLOOKUP(B615,Calc!$K$88:$L$98,2,FALSE)</f>
        <v>#N/A</v>
      </c>
      <c r="F615" s="523" t="e">
        <f ca="1">IF(Errorhandling!$C$42,INDEX(Calc!$J$99:$J$109,MATCH(Display!B615,Calc!$K$99:$K$109,0),1),#N/A)</f>
        <v>#N/A</v>
      </c>
    </row>
    <row r="616" spans="2:6" x14ac:dyDescent="0.2">
      <c r="B616" s="6">
        <f t="shared" si="13"/>
        <v>613</v>
      </c>
      <c r="C616" s="81" t="e">
        <f ca="1">VLOOKUP(B616,Calc!$K$66:$L$76,2,FALSE)</f>
        <v>#N/A</v>
      </c>
      <c r="D616" s="81" t="e">
        <f ca="1">VLOOKUP(B616,Calc!$K$77:$L$87,2,FALSE)</f>
        <v>#N/A</v>
      </c>
      <c r="E616" s="523" t="e">
        <f ca="1">VLOOKUP(B616,Calc!$K$88:$L$98,2,FALSE)</f>
        <v>#N/A</v>
      </c>
      <c r="F616" s="523" t="e">
        <f ca="1">IF(Errorhandling!$C$42,INDEX(Calc!$J$99:$J$109,MATCH(Display!B616,Calc!$K$99:$K$109,0),1),#N/A)</f>
        <v>#N/A</v>
      </c>
    </row>
    <row r="617" spans="2:6" x14ac:dyDescent="0.2">
      <c r="B617" s="6">
        <f t="shared" si="13"/>
        <v>614</v>
      </c>
      <c r="C617" s="81" t="e">
        <f ca="1">VLOOKUP(B617,Calc!$K$66:$L$76,2,FALSE)</f>
        <v>#N/A</v>
      </c>
      <c r="D617" s="81" t="e">
        <f ca="1">VLOOKUP(B617,Calc!$K$77:$L$87,2,FALSE)</f>
        <v>#N/A</v>
      </c>
      <c r="E617" s="523" t="e">
        <f ca="1">VLOOKUP(B617,Calc!$K$88:$L$98,2,FALSE)</f>
        <v>#N/A</v>
      </c>
      <c r="F617" s="523" t="e">
        <f ca="1">IF(Errorhandling!$C$42,INDEX(Calc!$J$99:$J$109,MATCH(Display!B617,Calc!$K$99:$K$109,0),1),#N/A)</f>
        <v>#N/A</v>
      </c>
    </row>
    <row r="618" spans="2:6" x14ac:dyDescent="0.2">
      <c r="B618" s="6">
        <f t="shared" si="13"/>
        <v>615</v>
      </c>
      <c r="C618" s="81" t="e">
        <f ca="1">VLOOKUP(B618,Calc!$K$66:$L$76,2,FALSE)</f>
        <v>#N/A</v>
      </c>
      <c r="D618" s="81" t="e">
        <f ca="1">VLOOKUP(B618,Calc!$K$77:$L$87,2,FALSE)</f>
        <v>#N/A</v>
      </c>
      <c r="E618" s="523" t="e">
        <f ca="1">VLOOKUP(B618,Calc!$K$88:$L$98,2,FALSE)</f>
        <v>#N/A</v>
      </c>
      <c r="F618" s="523" t="e">
        <f ca="1">IF(Errorhandling!$C$42,INDEX(Calc!$J$99:$J$109,MATCH(Display!B618,Calc!$K$99:$K$109,0),1),#N/A)</f>
        <v>#N/A</v>
      </c>
    </row>
    <row r="619" spans="2:6" x14ac:dyDescent="0.2">
      <c r="B619" s="6">
        <f t="shared" si="13"/>
        <v>616</v>
      </c>
      <c r="C619" s="81" t="e">
        <f ca="1">VLOOKUP(B619,Calc!$K$66:$L$76,2,FALSE)</f>
        <v>#N/A</v>
      </c>
      <c r="D619" s="81" t="e">
        <f ca="1">VLOOKUP(B619,Calc!$K$77:$L$87,2,FALSE)</f>
        <v>#N/A</v>
      </c>
      <c r="E619" s="523" t="e">
        <f ca="1">VLOOKUP(B619,Calc!$K$88:$L$98,2,FALSE)</f>
        <v>#N/A</v>
      </c>
      <c r="F619" s="523" t="e">
        <f ca="1">IF(Errorhandling!$C$42,INDEX(Calc!$J$99:$J$109,MATCH(Display!B619,Calc!$K$99:$K$109,0),1),#N/A)</f>
        <v>#N/A</v>
      </c>
    </row>
    <row r="620" spans="2:6" x14ac:dyDescent="0.2">
      <c r="B620" s="6">
        <f t="shared" si="13"/>
        <v>617</v>
      </c>
      <c r="C620" s="81" t="e">
        <f ca="1">VLOOKUP(B620,Calc!$K$66:$L$76,2,FALSE)</f>
        <v>#N/A</v>
      </c>
      <c r="D620" s="81" t="e">
        <f ca="1">VLOOKUP(B620,Calc!$K$77:$L$87,2,FALSE)</f>
        <v>#N/A</v>
      </c>
      <c r="E620" s="523" t="e">
        <f ca="1">VLOOKUP(B620,Calc!$K$88:$L$98,2,FALSE)</f>
        <v>#N/A</v>
      </c>
      <c r="F620" s="523" t="e">
        <f ca="1">IF(Errorhandling!$C$42,INDEX(Calc!$J$99:$J$109,MATCH(Display!B620,Calc!$K$99:$K$109,0),1),#N/A)</f>
        <v>#N/A</v>
      </c>
    </row>
    <row r="621" spans="2:6" x14ac:dyDescent="0.2">
      <c r="B621" s="6">
        <f t="shared" si="13"/>
        <v>618</v>
      </c>
      <c r="C621" s="81" t="e">
        <f ca="1">VLOOKUP(B621,Calc!$K$66:$L$76,2,FALSE)</f>
        <v>#N/A</v>
      </c>
      <c r="D621" s="81" t="e">
        <f ca="1">VLOOKUP(B621,Calc!$K$77:$L$87,2,FALSE)</f>
        <v>#N/A</v>
      </c>
      <c r="E621" s="523" t="e">
        <f ca="1">VLOOKUP(B621,Calc!$K$88:$L$98,2,FALSE)</f>
        <v>#N/A</v>
      </c>
      <c r="F621" s="523" t="e">
        <f ca="1">IF(Errorhandling!$C$42,INDEX(Calc!$J$99:$J$109,MATCH(Display!B621,Calc!$K$99:$K$109,0),1),#N/A)</f>
        <v>#N/A</v>
      </c>
    </row>
    <row r="622" spans="2:6" x14ac:dyDescent="0.2">
      <c r="B622" s="6">
        <f t="shared" si="13"/>
        <v>619</v>
      </c>
      <c r="C622" s="81" t="e">
        <f ca="1">VLOOKUP(B622,Calc!$K$66:$L$76,2,FALSE)</f>
        <v>#N/A</v>
      </c>
      <c r="D622" s="81" t="e">
        <f ca="1">VLOOKUP(B622,Calc!$K$77:$L$87,2,FALSE)</f>
        <v>#N/A</v>
      </c>
      <c r="E622" s="523" t="e">
        <f ca="1">VLOOKUP(B622,Calc!$K$88:$L$98,2,FALSE)</f>
        <v>#N/A</v>
      </c>
      <c r="F622" s="523" t="e">
        <f ca="1">IF(Errorhandling!$C$42,INDEX(Calc!$J$99:$J$109,MATCH(Display!B622,Calc!$K$99:$K$109,0),1),#N/A)</f>
        <v>#N/A</v>
      </c>
    </row>
    <row r="623" spans="2:6" x14ac:dyDescent="0.2">
      <c r="B623" s="6">
        <f t="shared" si="13"/>
        <v>620</v>
      </c>
      <c r="C623" s="81" t="e">
        <f ca="1">VLOOKUP(B623,Calc!$K$66:$L$76,2,FALSE)</f>
        <v>#N/A</v>
      </c>
      <c r="D623" s="81" t="e">
        <f ca="1">VLOOKUP(B623,Calc!$K$77:$L$87,2,FALSE)</f>
        <v>#N/A</v>
      </c>
      <c r="E623" s="523" t="e">
        <f ca="1">VLOOKUP(B623,Calc!$K$88:$L$98,2,FALSE)</f>
        <v>#N/A</v>
      </c>
      <c r="F623" s="523" t="e">
        <f ca="1">IF(Errorhandling!$C$42,INDEX(Calc!$J$99:$J$109,MATCH(Display!B623,Calc!$K$99:$K$109,0),1),#N/A)</f>
        <v>#N/A</v>
      </c>
    </row>
    <row r="624" spans="2:6" x14ac:dyDescent="0.2">
      <c r="B624" s="6">
        <f t="shared" si="13"/>
        <v>621</v>
      </c>
      <c r="C624" s="81" t="e">
        <f ca="1">VLOOKUP(B624,Calc!$K$66:$L$76,2,FALSE)</f>
        <v>#N/A</v>
      </c>
      <c r="D624" s="81" t="e">
        <f ca="1">VLOOKUP(B624,Calc!$K$77:$L$87,2,FALSE)</f>
        <v>#N/A</v>
      </c>
      <c r="E624" s="523" t="e">
        <f ca="1">VLOOKUP(B624,Calc!$K$88:$L$98,2,FALSE)</f>
        <v>#N/A</v>
      </c>
      <c r="F624" s="523" t="e">
        <f ca="1">IF(Errorhandling!$C$42,INDEX(Calc!$J$99:$J$109,MATCH(Display!B624,Calc!$K$99:$K$109,0),1),#N/A)</f>
        <v>#N/A</v>
      </c>
    </row>
    <row r="625" spans="2:6" x14ac:dyDescent="0.2">
      <c r="B625" s="6">
        <f t="shared" si="13"/>
        <v>622</v>
      </c>
      <c r="C625" s="81" t="e">
        <f ca="1">VLOOKUP(B625,Calc!$K$66:$L$76,2,FALSE)</f>
        <v>#N/A</v>
      </c>
      <c r="D625" s="81" t="e">
        <f ca="1">VLOOKUP(B625,Calc!$K$77:$L$87,2,FALSE)</f>
        <v>#N/A</v>
      </c>
      <c r="E625" s="523" t="e">
        <f ca="1">VLOOKUP(B625,Calc!$K$88:$L$98,2,FALSE)</f>
        <v>#N/A</v>
      </c>
      <c r="F625" s="523" t="e">
        <f ca="1">IF(Errorhandling!$C$42,INDEX(Calc!$J$99:$J$109,MATCH(Display!B625,Calc!$K$99:$K$109,0),1),#N/A)</f>
        <v>#N/A</v>
      </c>
    </row>
    <row r="626" spans="2:6" x14ac:dyDescent="0.2">
      <c r="B626" s="6">
        <f t="shared" si="13"/>
        <v>623</v>
      </c>
      <c r="C626" s="81" t="e">
        <f ca="1">VLOOKUP(B626,Calc!$K$66:$L$76,2,FALSE)</f>
        <v>#N/A</v>
      </c>
      <c r="D626" s="81" t="e">
        <f ca="1">VLOOKUP(B626,Calc!$K$77:$L$87,2,FALSE)</f>
        <v>#N/A</v>
      </c>
      <c r="E626" s="523" t="e">
        <f ca="1">VLOOKUP(B626,Calc!$K$88:$L$98,2,FALSE)</f>
        <v>#N/A</v>
      </c>
      <c r="F626" s="523" t="e">
        <f ca="1">IF(Errorhandling!$C$42,INDEX(Calc!$J$99:$J$109,MATCH(Display!B626,Calc!$K$99:$K$109,0),1),#N/A)</f>
        <v>#N/A</v>
      </c>
    </row>
    <row r="627" spans="2:6" x14ac:dyDescent="0.2">
      <c r="B627" s="6">
        <f t="shared" si="13"/>
        <v>624</v>
      </c>
      <c r="C627" s="81" t="e">
        <f ca="1">VLOOKUP(B627,Calc!$K$66:$L$76,2,FALSE)</f>
        <v>#N/A</v>
      </c>
      <c r="D627" s="81" t="e">
        <f ca="1">VLOOKUP(B627,Calc!$K$77:$L$87,2,FALSE)</f>
        <v>#N/A</v>
      </c>
      <c r="E627" s="523" t="e">
        <f ca="1">VLOOKUP(B627,Calc!$K$88:$L$98,2,FALSE)</f>
        <v>#N/A</v>
      </c>
      <c r="F627" s="523" t="e">
        <f ca="1">IF(Errorhandling!$C$42,INDEX(Calc!$J$99:$J$109,MATCH(Display!B627,Calc!$K$99:$K$109,0),1),#N/A)</f>
        <v>#N/A</v>
      </c>
    </row>
    <row r="628" spans="2:6" x14ac:dyDescent="0.2">
      <c r="B628" s="6">
        <f t="shared" si="13"/>
        <v>625</v>
      </c>
      <c r="C628" s="81" t="e">
        <f ca="1">VLOOKUP(B628,Calc!$K$66:$L$76,2,FALSE)</f>
        <v>#N/A</v>
      </c>
      <c r="D628" s="81" t="e">
        <f ca="1">VLOOKUP(B628,Calc!$K$77:$L$87,2,FALSE)</f>
        <v>#N/A</v>
      </c>
      <c r="E628" s="523" t="e">
        <f ca="1">VLOOKUP(B628,Calc!$K$88:$L$98,2,FALSE)</f>
        <v>#N/A</v>
      </c>
      <c r="F628" s="523" t="e">
        <f ca="1">IF(Errorhandling!$C$42,INDEX(Calc!$J$99:$J$109,MATCH(Display!B628,Calc!$K$99:$K$109,0),1),#N/A)</f>
        <v>#N/A</v>
      </c>
    </row>
    <row r="629" spans="2:6" x14ac:dyDescent="0.2">
      <c r="B629" s="6">
        <f t="shared" si="13"/>
        <v>626</v>
      </c>
      <c r="C629" s="81" t="e">
        <f ca="1">VLOOKUP(B629,Calc!$K$66:$L$76,2,FALSE)</f>
        <v>#N/A</v>
      </c>
      <c r="D629" s="81" t="e">
        <f ca="1">VLOOKUP(B629,Calc!$K$77:$L$87,2,FALSE)</f>
        <v>#N/A</v>
      </c>
      <c r="E629" s="523" t="e">
        <f ca="1">VLOOKUP(B629,Calc!$K$88:$L$98,2,FALSE)</f>
        <v>#N/A</v>
      </c>
      <c r="F629" s="523" t="e">
        <f ca="1">IF(Errorhandling!$C$42,INDEX(Calc!$J$99:$J$109,MATCH(Display!B629,Calc!$K$99:$K$109,0),1),#N/A)</f>
        <v>#N/A</v>
      </c>
    </row>
    <row r="630" spans="2:6" x14ac:dyDescent="0.2">
      <c r="B630" s="6">
        <f t="shared" si="13"/>
        <v>627</v>
      </c>
      <c r="C630" s="81" t="e">
        <f ca="1">VLOOKUP(B630,Calc!$K$66:$L$76,2,FALSE)</f>
        <v>#N/A</v>
      </c>
      <c r="D630" s="81" t="e">
        <f ca="1">VLOOKUP(B630,Calc!$K$77:$L$87,2,FALSE)</f>
        <v>#N/A</v>
      </c>
      <c r="E630" s="523" t="e">
        <f ca="1">VLOOKUP(B630,Calc!$K$88:$L$98,2,FALSE)</f>
        <v>#N/A</v>
      </c>
      <c r="F630" s="523" t="e">
        <f ca="1">IF(Errorhandling!$C$42,INDEX(Calc!$J$99:$J$109,MATCH(Display!B630,Calc!$K$99:$K$109,0),1),#N/A)</f>
        <v>#N/A</v>
      </c>
    </row>
    <row r="631" spans="2:6" x14ac:dyDescent="0.2">
      <c r="B631" s="6">
        <f t="shared" si="13"/>
        <v>628</v>
      </c>
      <c r="C631" s="81" t="e">
        <f ca="1">VLOOKUP(B631,Calc!$K$66:$L$76,2,FALSE)</f>
        <v>#N/A</v>
      </c>
      <c r="D631" s="81" t="e">
        <f ca="1">VLOOKUP(B631,Calc!$K$77:$L$87,2,FALSE)</f>
        <v>#N/A</v>
      </c>
      <c r="E631" s="523" t="e">
        <f ca="1">VLOOKUP(B631,Calc!$K$88:$L$98,2,FALSE)</f>
        <v>#N/A</v>
      </c>
      <c r="F631" s="523" t="e">
        <f ca="1">IF(Errorhandling!$C$42,INDEX(Calc!$J$99:$J$109,MATCH(Display!B631,Calc!$K$99:$K$109,0),1),#N/A)</f>
        <v>#N/A</v>
      </c>
    </row>
    <row r="632" spans="2:6" x14ac:dyDescent="0.2">
      <c r="B632" s="6">
        <f t="shared" si="13"/>
        <v>629</v>
      </c>
      <c r="C632" s="81" t="e">
        <f ca="1">VLOOKUP(B632,Calc!$K$66:$L$76,2,FALSE)</f>
        <v>#N/A</v>
      </c>
      <c r="D632" s="81" t="e">
        <f ca="1">VLOOKUP(B632,Calc!$K$77:$L$87,2,FALSE)</f>
        <v>#N/A</v>
      </c>
      <c r="E632" s="523" t="e">
        <f ca="1">VLOOKUP(B632,Calc!$K$88:$L$98,2,FALSE)</f>
        <v>#N/A</v>
      </c>
      <c r="F632" s="523" t="e">
        <f ca="1">IF(Errorhandling!$C$42,INDEX(Calc!$J$99:$J$109,MATCH(Display!B632,Calc!$K$99:$K$109,0),1),#N/A)</f>
        <v>#N/A</v>
      </c>
    </row>
    <row r="633" spans="2:6" x14ac:dyDescent="0.2">
      <c r="B633" s="6">
        <f t="shared" si="13"/>
        <v>630</v>
      </c>
      <c r="C633" s="81" t="e">
        <f ca="1">VLOOKUP(B633,Calc!$K$66:$L$76,2,FALSE)</f>
        <v>#N/A</v>
      </c>
      <c r="D633" s="81" t="e">
        <f ca="1">VLOOKUP(B633,Calc!$K$77:$L$87,2,FALSE)</f>
        <v>#N/A</v>
      </c>
      <c r="E633" s="523" t="e">
        <f ca="1">VLOOKUP(B633,Calc!$K$88:$L$98,2,FALSE)</f>
        <v>#N/A</v>
      </c>
      <c r="F633" s="523" t="e">
        <f ca="1">IF(Errorhandling!$C$42,INDEX(Calc!$J$99:$J$109,MATCH(Display!B633,Calc!$K$99:$K$109,0),1),#N/A)</f>
        <v>#N/A</v>
      </c>
    </row>
    <row r="634" spans="2:6" x14ac:dyDescent="0.2">
      <c r="B634" s="6">
        <f t="shared" si="13"/>
        <v>631</v>
      </c>
      <c r="C634" s="81" t="e">
        <f ca="1">VLOOKUP(B634,Calc!$K$66:$L$76,2,FALSE)</f>
        <v>#N/A</v>
      </c>
      <c r="D634" s="81" t="e">
        <f ca="1">VLOOKUP(B634,Calc!$K$77:$L$87,2,FALSE)</f>
        <v>#N/A</v>
      </c>
      <c r="E634" s="523" t="e">
        <f ca="1">VLOOKUP(B634,Calc!$K$88:$L$98,2,FALSE)</f>
        <v>#N/A</v>
      </c>
      <c r="F634" s="523" t="e">
        <f ca="1">IF(Errorhandling!$C$42,INDEX(Calc!$J$99:$J$109,MATCH(Display!B634,Calc!$K$99:$K$109,0),1),#N/A)</f>
        <v>#N/A</v>
      </c>
    </row>
    <row r="635" spans="2:6" x14ac:dyDescent="0.2">
      <c r="B635" s="6">
        <f t="shared" si="13"/>
        <v>632</v>
      </c>
      <c r="C635" s="81" t="e">
        <f ca="1">VLOOKUP(B635,Calc!$K$66:$L$76,2,FALSE)</f>
        <v>#N/A</v>
      </c>
      <c r="D635" s="81" t="e">
        <f ca="1">VLOOKUP(B635,Calc!$K$77:$L$87,2,FALSE)</f>
        <v>#N/A</v>
      </c>
      <c r="E635" s="523" t="e">
        <f ca="1">VLOOKUP(B635,Calc!$K$88:$L$98,2,FALSE)</f>
        <v>#N/A</v>
      </c>
      <c r="F635" s="523" t="e">
        <f ca="1">IF(Errorhandling!$C$42,INDEX(Calc!$J$99:$J$109,MATCH(Display!B635,Calc!$K$99:$K$109,0),1),#N/A)</f>
        <v>#N/A</v>
      </c>
    </row>
    <row r="636" spans="2:6" x14ac:dyDescent="0.2">
      <c r="B636" s="6">
        <f t="shared" si="13"/>
        <v>633</v>
      </c>
      <c r="C636" s="81" t="e">
        <f ca="1">VLOOKUP(B636,Calc!$K$66:$L$76,2,FALSE)</f>
        <v>#N/A</v>
      </c>
      <c r="D636" s="81" t="e">
        <f ca="1">VLOOKUP(B636,Calc!$K$77:$L$87,2,FALSE)</f>
        <v>#N/A</v>
      </c>
      <c r="E636" s="523" t="e">
        <f ca="1">VLOOKUP(B636,Calc!$K$88:$L$98,2,FALSE)</f>
        <v>#N/A</v>
      </c>
      <c r="F636" s="523" t="e">
        <f ca="1">IF(Errorhandling!$C$42,INDEX(Calc!$J$99:$J$109,MATCH(Display!B636,Calc!$K$99:$K$109,0),1),#N/A)</f>
        <v>#N/A</v>
      </c>
    </row>
    <row r="637" spans="2:6" x14ac:dyDescent="0.2">
      <c r="B637" s="6">
        <f t="shared" si="13"/>
        <v>634</v>
      </c>
      <c r="C637" s="81" t="e">
        <f ca="1">VLOOKUP(B637,Calc!$K$66:$L$76,2,FALSE)</f>
        <v>#N/A</v>
      </c>
      <c r="D637" s="81" t="e">
        <f ca="1">VLOOKUP(B637,Calc!$K$77:$L$87,2,FALSE)</f>
        <v>#N/A</v>
      </c>
      <c r="E637" s="523" t="e">
        <f ca="1">VLOOKUP(B637,Calc!$K$88:$L$98,2,FALSE)</f>
        <v>#N/A</v>
      </c>
      <c r="F637" s="523" t="e">
        <f ca="1">IF(Errorhandling!$C$42,INDEX(Calc!$J$99:$J$109,MATCH(Display!B637,Calc!$K$99:$K$109,0),1),#N/A)</f>
        <v>#N/A</v>
      </c>
    </row>
    <row r="638" spans="2:6" x14ac:dyDescent="0.2">
      <c r="B638" s="6">
        <f t="shared" si="13"/>
        <v>635</v>
      </c>
      <c r="C638" s="81" t="e">
        <f ca="1">VLOOKUP(B638,Calc!$K$66:$L$76,2,FALSE)</f>
        <v>#N/A</v>
      </c>
      <c r="D638" s="81" t="e">
        <f ca="1">VLOOKUP(B638,Calc!$K$77:$L$87,2,FALSE)</f>
        <v>#N/A</v>
      </c>
      <c r="E638" s="523" t="e">
        <f ca="1">VLOOKUP(B638,Calc!$K$88:$L$98,2,FALSE)</f>
        <v>#N/A</v>
      </c>
      <c r="F638" s="523" t="e">
        <f ca="1">IF(Errorhandling!$C$42,INDEX(Calc!$J$99:$J$109,MATCH(Display!B638,Calc!$K$99:$K$109,0),1),#N/A)</f>
        <v>#N/A</v>
      </c>
    </row>
    <row r="639" spans="2:6" x14ac:dyDescent="0.2">
      <c r="B639" s="6">
        <f t="shared" si="13"/>
        <v>636</v>
      </c>
      <c r="C639" s="81" t="e">
        <f ca="1">VLOOKUP(B639,Calc!$K$66:$L$76,2,FALSE)</f>
        <v>#N/A</v>
      </c>
      <c r="D639" s="81" t="e">
        <f ca="1">VLOOKUP(B639,Calc!$K$77:$L$87,2,FALSE)</f>
        <v>#N/A</v>
      </c>
      <c r="E639" s="523" t="e">
        <f ca="1">VLOOKUP(B639,Calc!$K$88:$L$98,2,FALSE)</f>
        <v>#N/A</v>
      </c>
      <c r="F639" s="523" t="e">
        <f ca="1">IF(Errorhandling!$C$42,INDEX(Calc!$J$99:$J$109,MATCH(Display!B639,Calc!$K$99:$K$109,0),1),#N/A)</f>
        <v>#N/A</v>
      </c>
    </row>
    <row r="640" spans="2:6" x14ac:dyDescent="0.2">
      <c r="B640" s="6">
        <f t="shared" si="13"/>
        <v>637</v>
      </c>
      <c r="C640" s="81" t="e">
        <f ca="1">VLOOKUP(B640,Calc!$K$66:$L$76,2,FALSE)</f>
        <v>#N/A</v>
      </c>
      <c r="D640" s="81" t="e">
        <f ca="1">VLOOKUP(B640,Calc!$K$77:$L$87,2,FALSE)</f>
        <v>#N/A</v>
      </c>
      <c r="E640" s="523" t="e">
        <f ca="1">VLOOKUP(B640,Calc!$K$88:$L$98,2,FALSE)</f>
        <v>#N/A</v>
      </c>
      <c r="F640" s="523" t="e">
        <f ca="1">IF(Errorhandling!$C$42,INDEX(Calc!$J$99:$J$109,MATCH(Display!B640,Calc!$K$99:$K$109,0),1),#N/A)</f>
        <v>#N/A</v>
      </c>
    </row>
    <row r="641" spans="2:6" x14ac:dyDescent="0.2">
      <c r="B641" s="6">
        <f t="shared" si="13"/>
        <v>638</v>
      </c>
      <c r="C641" s="81" t="e">
        <f ca="1">VLOOKUP(B641,Calc!$K$66:$L$76,2,FALSE)</f>
        <v>#N/A</v>
      </c>
      <c r="D641" s="81" t="e">
        <f ca="1">VLOOKUP(B641,Calc!$K$77:$L$87,2,FALSE)</f>
        <v>#N/A</v>
      </c>
      <c r="E641" s="523" t="e">
        <f ca="1">VLOOKUP(B641,Calc!$K$88:$L$98,2,FALSE)</f>
        <v>#N/A</v>
      </c>
      <c r="F641" s="523" t="e">
        <f ca="1">IF(Errorhandling!$C$42,INDEX(Calc!$J$99:$J$109,MATCH(Display!B641,Calc!$K$99:$K$109,0),1),#N/A)</f>
        <v>#N/A</v>
      </c>
    </row>
    <row r="642" spans="2:6" x14ac:dyDescent="0.2">
      <c r="B642" s="6">
        <f t="shared" si="13"/>
        <v>639</v>
      </c>
      <c r="C642" s="81" t="e">
        <f ca="1">VLOOKUP(B642,Calc!$K$66:$L$76,2,FALSE)</f>
        <v>#N/A</v>
      </c>
      <c r="D642" s="81" t="e">
        <f ca="1">VLOOKUP(B642,Calc!$K$77:$L$87,2,FALSE)</f>
        <v>#N/A</v>
      </c>
      <c r="E642" s="523" t="e">
        <f ca="1">VLOOKUP(B642,Calc!$K$88:$L$98,2,FALSE)</f>
        <v>#N/A</v>
      </c>
      <c r="F642" s="523" t="e">
        <f ca="1">IF(Errorhandling!$C$42,INDEX(Calc!$J$99:$J$109,MATCH(Display!B642,Calc!$K$99:$K$109,0),1),#N/A)</f>
        <v>#N/A</v>
      </c>
    </row>
    <row r="643" spans="2:6" x14ac:dyDescent="0.2">
      <c r="B643" s="6">
        <f t="shared" si="13"/>
        <v>640</v>
      </c>
      <c r="C643" s="81" t="e">
        <f ca="1">VLOOKUP(B643,Calc!$K$66:$L$76,2,FALSE)</f>
        <v>#N/A</v>
      </c>
      <c r="D643" s="81" t="e">
        <f ca="1">VLOOKUP(B643,Calc!$K$77:$L$87,2,FALSE)</f>
        <v>#N/A</v>
      </c>
      <c r="E643" s="523" t="e">
        <f ca="1">VLOOKUP(B643,Calc!$K$88:$L$98,2,FALSE)</f>
        <v>#N/A</v>
      </c>
      <c r="F643" s="523" t="e">
        <f ca="1">IF(Errorhandling!$C$42,INDEX(Calc!$J$99:$J$109,MATCH(Display!B643,Calc!$K$99:$K$109,0),1),#N/A)</f>
        <v>#N/A</v>
      </c>
    </row>
    <row r="644" spans="2:6" x14ac:dyDescent="0.2">
      <c r="B644" s="6">
        <f t="shared" si="13"/>
        <v>641</v>
      </c>
      <c r="C644" s="81" t="e">
        <f ca="1">VLOOKUP(B644,Calc!$K$66:$L$76,2,FALSE)</f>
        <v>#N/A</v>
      </c>
      <c r="D644" s="81" t="e">
        <f ca="1">VLOOKUP(B644,Calc!$K$77:$L$87,2,FALSE)</f>
        <v>#N/A</v>
      </c>
      <c r="E644" s="523" t="e">
        <f ca="1">VLOOKUP(B644,Calc!$K$88:$L$98,2,FALSE)</f>
        <v>#N/A</v>
      </c>
      <c r="F644" s="523" t="e">
        <f ca="1">IF(Errorhandling!$C$42,INDEX(Calc!$J$99:$J$109,MATCH(Display!B644,Calc!$K$99:$K$109,0),1),#N/A)</f>
        <v>#N/A</v>
      </c>
    </row>
    <row r="645" spans="2:6" x14ac:dyDescent="0.2">
      <c r="B645" s="6">
        <f t="shared" si="13"/>
        <v>642</v>
      </c>
      <c r="C645" s="81" t="e">
        <f ca="1">VLOOKUP(B645,Calc!$K$66:$L$76,2,FALSE)</f>
        <v>#N/A</v>
      </c>
      <c r="D645" s="81" t="e">
        <f ca="1">VLOOKUP(B645,Calc!$K$77:$L$87,2,FALSE)</f>
        <v>#N/A</v>
      </c>
      <c r="E645" s="523" t="e">
        <f ca="1">VLOOKUP(B645,Calc!$K$88:$L$98,2,FALSE)</f>
        <v>#N/A</v>
      </c>
      <c r="F645" s="523" t="e">
        <f ca="1">IF(Errorhandling!$C$42,INDEX(Calc!$J$99:$J$109,MATCH(Display!B645,Calc!$K$99:$K$109,0),1),#N/A)</f>
        <v>#N/A</v>
      </c>
    </row>
    <row r="646" spans="2:6" x14ac:dyDescent="0.2">
      <c r="B646" s="6">
        <f t="shared" si="13"/>
        <v>643</v>
      </c>
      <c r="C646" s="81" t="e">
        <f ca="1">VLOOKUP(B646,Calc!$K$66:$L$76,2,FALSE)</f>
        <v>#N/A</v>
      </c>
      <c r="D646" s="81" t="e">
        <f ca="1">VLOOKUP(B646,Calc!$K$77:$L$87,2,FALSE)</f>
        <v>#N/A</v>
      </c>
      <c r="E646" s="523" t="e">
        <f ca="1">VLOOKUP(B646,Calc!$K$88:$L$98,2,FALSE)</f>
        <v>#N/A</v>
      </c>
      <c r="F646" s="523" t="e">
        <f ca="1">IF(Errorhandling!$C$42,INDEX(Calc!$J$99:$J$109,MATCH(Display!B646,Calc!$K$99:$K$109,0),1),#N/A)</f>
        <v>#N/A</v>
      </c>
    </row>
    <row r="647" spans="2:6" x14ac:dyDescent="0.2">
      <c r="B647" s="6">
        <f t="shared" ref="B647:B710" si="14">1+B646</f>
        <v>644</v>
      </c>
      <c r="C647" s="81" t="e">
        <f ca="1">VLOOKUP(B647,Calc!$K$66:$L$76,2,FALSE)</f>
        <v>#N/A</v>
      </c>
      <c r="D647" s="81" t="e">
        <f ca="1">VLOOKUP(B647,Calc!$K$77:$L$87,2,FALSE)</f>
        <v>#N/A</v>
      </c>
      <c r="E647" s="523" t="e">
        <f ca="1">VLOOKUP(B647,Calc!$K$88:$L$98,2,FALSE)</f>
        <v>#N/A</v>
      </c>
      <c r="F647" s="523" t="e">
        <f ca="1">IF(Errorhandling!$C$42,INDEX(Calc!$J$99:$J$109,MATCH(Display!B647,Calc!$K$99:$K$109,0),1),#N/A)</f>
        <v>#N/A</v>
      </c>
    </row>
    <row r="648" spans="2:6" x14ac:dyDescent="0.2">
      <c r="B648" s="6">
        <f t="shared" si="14"/>
        <v>645</v>
      </c>
      <c r="C648" s="81" t="e">
        <f ca="1">VLOOKUP(B648,Calc!$K$66:$L$76,2,FALSE)</f>
        <v>#N/A</v>
      </c>
      <c r="D648" s="81" t="e">
        <f ca="1">VLOOKUP(B648,Calc!$K$77:$L$87,2,FALSE)</f>
        <v>#N/A</v>
      </c>
      <c r="E648" s="523" t="e">
        <f ca="1">VLOOKUP(B648,Calc!$K$88:$L$98,2,FALSE)</f>
        <v>#N/A</v>
      </c>
      <c r="F648" s="523" t="e">
        <f ca="1">IF(Errorhandling!$C$42,INDEX(Calc!$J$99:$J$109,MATCH(Display!B648,Calc!$K$99:$K$109,0),1),#N/A)</f>
        <v>#N/A</v>
      </c>
    </row>
    <row r="649" spans="2:6" x14ac:dyDescent="0.2">
      <c r="B649" s="6">
        <f t="shared" si="14"/>
        <v>646</v>
      </c>
      <c r="C649" s="81" t="e">
        <f ca="1">VLOOKUP(B649,Calc!$K$66:$L$76,2,FALSE)</f>
        <v>#N/A</v>
      </c>
      <c r="D649" s="81" t="e">
        <f ca="1">VLOOKUP(B649,Calc!$K$77:$L$87,2,FALSE)</f>
        <v>#N/A</v>
      </c>
      <c r="E649" s="523" t="e">
        <f ca="1">VLOOKUP(B649,Calc!$K$88:$L$98,2,FALSE)</f>
        <v>#N/A</v>
      </c>
      <c r="F649" s="523" t="e">
        <f ca="1">IF(Errorhandling!$C$42,INDEX(Calc!$J$99:$J$109,MATCH(Display!B649,Calc!$K$99:$K$109,0),1),#N/A)</f>
        <v>#N/A</v>
      </c>
    </row>
    <row r="650" spans="2:6" x14ac:dyDescent="0.2">
      <c r="B650" s="6">
        <f t="shared" si="14"/>
        <v>647</v>
      </c>
      <c r="C650" s="81" t="e">
        <f ca="1">VLOOKUP(B650,Calc!$K$66:$L$76,2,FALSE)</f>
        <v>#N/A</v>
      </c>
      <c r="D650" s="81" t="e">
        <f ca="1">VLOOKUP(B650,Calc!$K$77:$L$87,2,FALSE)</f>
        <v>#N/A</v>
      </c>
      <c r="E650" s="523" t="e">
        <f ca="1">VLOOKUP(B650,Calc!$K$88:$L$98,2,FALSE)</f>
        <v>#N/A</v>
      </c>
      <c r="F650" s="523" t="e">
        <f ca="1">IF(Errorhandling!$C$42,INDEX(Calc!$J$99:$J$109,MATCH(Display!B650,Calc!$K$99:$K$109,0),1),#N/A)</f>
        <v>#N/A</v>
      </c>
    </row>
    <row r="651" spans="2:6" x14ac:dyDescent="0.2">
      <c r="B651" s="6">
        <f t="shared" si="14"/>
        <v>648</v>
      </c>
      <c r="C651" s="81" t="e">
        <f ca="1">VLOOKUP(B651,Calc!$K$66:$L$76,2,FALSE)</f>
        <v>#N/A</v>
      </c>
      <c r="D651" s="81" t="e">
        <f ca="1">VLOOKUP(B651,Calc!$K$77:$L$87,2,FALSE)</f>
        <v>#N/A</v>
      </c>
      <c r="E651" s="523" t="e">
        <f ca="1">VLOOKUP(B651,Calc!$K$88:$L$98,2,FALSE)</f>
        <v>#N/A</v>
      </c>
      <c r="F651" s="523" t="e">
        <f ca="1">IF(Errorhandling!$C$42,INDEX(Calc!$J$99:$J$109,MATCH(Display!B651,Calc!$K$99:$K$109,0),1),#N/A)</f>
        <v>#N/A</v>
      </c>
    </row>
    <row r="652" spans="2:6" x14ac:dyDescent="0.2">
      <c r="B652" s="6">
        <f t="shared" si="14"/>
        <v>649</v>
      </c>
      <c r="C652" s="81" t="e">
        <f ca="1">VLOOKUP(B652,Calc!$K$66:$L$76,2,FALSE)</f>
        <v>#N/A</v>
      </c>
      <c r="D652" s="81" t="e">
        <f ca="1">VLOOKUP(B652,Calc!$K$77:$L$87,2,FALSE)</f>
        <v>#N/A</v>
      </c>
      <c r="E652" s="523" t="e">
        <f ca="1">VLOOKUP(B652,Calc!$K$88:$L$98,2,FALSE)</f>
        <v>#N/A</v>
      </c>
      <c r="F652" s="523" t="e">
        <f ca="1">IF(Errorhandling!$C$42,INDEX(Calc!$J$99:$J$109,MATCH(Display!B652,Calc!$K$99:$K$109,0),1),#N/A)</f>
        <v>#N/A</v>
      </c>
    </row>
    <row r="653" spans="2:6" x14ac:dyDescent="0.2">
      <c r="B653" s="6">
        <f t="shared" si="14"/>
        <v>650</v>
      </c>
      <c r="C653" s="81" t="e">
        <f ca="1">VLOOKUP(B653,Calc!$K$66:$L$76,2,FALSE)</f>
        <v>#N/A</v>
      </c>
      <c r="D653" s="81" t="e">
        <f ca="1">VLOOKUP(B653,Calc!$K$77:$L$87,2,FALSE)</f>
        <v>#N/A</v>
      </c>
      <c r="E653" s="523" t="e">
        <f ca="1">VLOOKUP(B653,Calc!$K$88:$L$98,2,FALSE)</f>
        <v>#N/A</v>
      </c>
      <c r="F653" s="523" t="e">
        <f ca="1">IF(Errorhandling!$C$42,INDEX(Calc!$J$99:$J$109,MATCH(Display!B653,Calc!$K$99:$K$109,0),1),#N/A)</f>
        <v>#N/A</v>
      </c>
    </row>
    <row r="654" spans="2:6" x14ac:dyDescent="0.2">
      <c r="B654" s="6">
        <f t="shared" si="14"/>
        <v>651</v>
      </c>
      <c r="C654" s="81" t="e">
        <f ca="1">VLOOKUP(B654,Calc!$K$66:$L$76,2,FALSE)</f>
        <v>#N/A</v>
      </c>
      <c r="D654" s="81" t="e">
        <f ca="1">VLOOKUP(B654,Calc!$K$77:$L$87,2,FALSE)</f>
        <v>#N/A</v>
      </c>
      <c r="E654" s="523" t="e">
        <f ca="1">VLOOKUP(B654,Calc!$K$88:$L$98,2,FALSE)</f>
        <v>#N/A</v>
      </c>
      <c r="F654" s="523" t="e">
        <f ca="1">IF(Errorhandling!$C$42,INDEX(Calc!$J$99:$J$109,MATCH(Display!B654,Calc!$K$99:$K$109,0),1),#N/A)</f>
        <v>#N/A</v>
      </c>
    </row>
    <row r="655" spans="2:6" x14ac:dyDescent="0.2">
      <c r="B655" s="6">
        <f t="shared" si="14"/>
        <v>652</v>
      </c>
      <c r="C655" s="81" t="e">
        <f ca="1">VLOOKUP(B655,Calc!$K$66:$L$76,2,FALSE)</f>
        <v>#N/A</v>
      </c>
      <c r="D655" s="81" t="e">
        <f ca="1">VLOOKUP(B655,Calc!$K$77:$L$87,2,FALSE)</f>
        <v>#N/A</v>
      </c>
      <c r="E655" s="523" t="e">
        <f ca="1">VLOOKUP(B655,Calc!$K$88:$L$98,2,FALSE)</f>
        <v>#N/A</v>
      </c>
      <c r="F655" s="523" t="e">
        <f ca="1">IF(Errorhandling!$C$42,INDEX(Calc!$J$99:$J$109,MATCH(Display!B655,Calc!$K$99:$K$109,0),1),#N/A)</f>
        <v>#N/A</v>
      </c>
    </row>
    <row r="656" spans="2:6" x14ac:dyDescent="0.2">
      <c r="B656" s="6">
        <f t="shared" si="14"/>
        <v>653</v>
      </c>
      <c r="C656" s="81" t="e">
        <f ca="1">VLOOKUP(B656,Calc!$K$66:$L$76,2,FALSE)</f>
        <v>#N/A</v>
      </c>
      <c r="D656" s="81" t="e">
        <f ca="1">VLOOKUP(B656,Calc!$K$77:$L$87,2,FALSE)</f>
        <v>#N/A</v>
      </c>
      <c r="E656" s="523" t="e">
        <f ca="1">VLOOKUP(B656,Calc!$K$88:$L$98,2,FALSE)</f>
        <v>#N/A</v>
      </c>
      <c r="F656" s="523" t="e">
        <f ca="1">IF(Errorhandling!$C$42,INDEX(Calc!$J$99:$J$109,MATCH(Display!B656,Calc!$K$99:$K$109,0),1),#N/A)</f>
        <v>#N/A</v>
      </c>
    </row>
    <row r="657" spans="2:6" x14ac:dyDescent="0.2">
      <c r="B657" s="6">
        <f t="shared" si="14"/>
        <v>654</v>
      </c>
      <c r="C657" s="81" t="e">
        <f ca="1">VLOOKUP(B657,Calc!$K$66:$L$76,2,FALSE)</f>
        <v>#N/A</v>
      </c>
      <c r="D657" s="81" t="e">
        <f ca="1">VLOOKUP(B657,Calc!$K$77:$L$87,2,FALSE)</f>
        <v>#N/A</v>
      </c>
      <c r="E657" s="523" t="e">
        <f ca="1">VLOOKUP(B657,Calc!$K$88:$L$98,2,FALSE)</f>
        <v>#N/A</v>
      </c>
      <c r="F657" s="523" t="e">
        <f ca="1">IF(Errorhandling!$C$42,INDEX(Calc!$J$99:$J$109,MATCH(Display!B657,Calc!$K$99:$K$109,0),1),#N/A)</f>
        <v>#N/A</v>
      </c>
    </row>
    <row r="658" spans="2:6" x14ac:dyDescent="0.2">
      <c r="B658" s="6">
        <f t="shared" si="14"/>
        <v>655</v>
      </c>
      <c r="C658" s="81" t="e">
        <f ca="1">VLOOKUP(B658,Calc!$K$66:$L$76,2,FALSE)</f>
        <v>#N/A</v>
      </c>
      <c r="D658" s="81" t="e">
        <f ca="1">VLOOKUP(B658,Calc!$K$77:$L$87,2,FALSE)</f>
        <v>#N/A</v>
      </c>
      <c r="E658" s="523" t="e">
        <f ca="1">VLOOKUP(B658,Calc!$K$88:$L$98,2,FALSE)</f>
        <v>#N/A</v>
      </c>
      <c r="F658" s="523" t="e">
        <f ca="1">IF(Errorhandling!$C$42,INDEX(Calc!$J$99:$J$109,MATCH(Display!B658,Calc!$K$99:$K$109,0),1),#N/A)</f>
        <v>#N/A</v>
      </c>
    </row>
    <row r="659" spans="2:6" x14ac:dyDescent="0.2">
      <c r="B659" s="6">
        <f t="shared" si="14"/>
        <v>656</v>
      </c>
      <c r="C659" s="81" t="e">
        <f ca="1">VLOOKUP(B659,Calc!$K$66:$L$76,2,FALSE)</f>
        <v>#N/A</v>
      </c>
      <c r="D659" s="81" t="e">
        <f ca="1">VLOOKUP(B659,Calc!$K$77:$L$87,2,FALSE)</f>
        <v>#N/A</v>
      </c>
      <c r="E659" s="523" t="e">
        <f ca="1">VLOOKUP(B659,Calc!$K$88:$L$98,2,FALSE)</f>
        <v>#N/A</v>
      </c>
      <c r="F659" s="523" t="e">
        <f ca="1">IF(Errorhandling!$C$42,INDEX(Calc!$J$99:$J$109,MATCH(Display!B659,Calc!$K$99:$K$109,0),1),#N/A)</f>
        <v>#N/A</v>
      </c>
    </row>
    <row r="660" spans="2:6" x14ac:dyDescent="0.2">
      <c r="B660" s="6">
        <f t="shared" si="14"/>
        <v>657</v>
      </c>
      <c r="C660" s="81" t="e">
        <f ca="1">VLOOKUP(B660,Calc!$K$66:$L$76,2,FALSE)</f>
        <v>#N/A</v>
      </c>
      <c r="D660" s="81" t="e">
        <f ca="1">VLOOKUP(B660,Calc!$K$77:$L$87,2,FALSE)</f>
        <v>#N/A</v>
      </c>
      <c r="E660" s="523" t="e">
        <f ca="1">VLOOKUP(B660,Calc!$K$88:$L$98,2,FALSE)</f>
        <v>#N/A</v>
      </c>
      <c r="F660" s="523" t="e">
        <f ca="1">IF(Errorhandling!$C$42,INDEX(Calc!$J$99:$J$109,MATCH(Display!B660,Calc!$K$99:$K$109,0),1),#N/A)</f>
        <v>#N/A</v>
      </c>
    </row>
    <row r="661" spans="2:6" x14ac:dyDescent="0.2">
      <c r="B661" s="6">
        <f t="shared" si="14"/>
        <v>658</v>
      </c>
      <c r="C661" s="81" t="e">
        <f ca="1">VLOOKUP(B661,Calc!$K$66:$L$76,2,FALSE)</f>
        <v>#N/A</v>
      </c>
      <c r="D661" s="81" t="e">
        <f ca="1">VLOOKUP(B661,Calc!$K$77:$L$87,2,FALSE)</f>
        <v>#N/A</v>
      </c>
      <c r="E661" s="523" t="e">
        <f ca="1">VLOOKUP(B661,Calc!$K$88:$L$98,2,FALSE)</f>
        <v>#N/A</v>
      </c>
      <c r="F661" s="523" t="e">
        <f ca="1">IF(Errorhandling!$C$42,INDEX(Calc!$J$99:$J$109,MATCH(Display!B661,Calc!$K$99:$K$109,0),1),#N/A)</f>
        <v>#N/A</v>
      </c>
    </row>
    <row r="662" spans="2:6" x14ac:dyDescent="0.2">
      <c r="B662" s="6">
        <f t="shared" si="14"/>
        <v>659</v>
      </c>
      <c r="C662" s="81" t="e">
        <f ca="1">VLOOKUP(B662,Calc!$K$66:$L$76,2,FALSE)</f>
        <v>#N/A</v>
      </c>
      <c r="D662" s="81" t="e">
        <f ca="1">VLOOKUP(B662,Calc!$K$77:$L$87,2,FALSE)</f>
        <v>#N/A</v>
      </c>
      <c r="E662" s="523" t="e">
        <f ca="1">VLOOKUP(B662,Calc!$K$88:$L$98,2,FALSE)</f>
        <v>#N/A</v>
      </c>
      <c r="F662" s="523" t="e">
        <f ca="1">IF(Errorhandling!$C$42,INDEX(Calc!$J$99:$J$109,MATCH(Display!B662,Calc!$K$99:$K$109,0),1),#N/A)</f>
        <v>#N/A</v>
      </c>
    </row>
    <row r="663" spans="2:6" x14ac:dyDescent="0.2">
      <c r="B663" s="6">
        <f t="shared" si="14"/>
        <v>660</v>
      </c>
      <c r="C663" s="81" t="e">
        <f ca="1">VLOOKUP(B663,Calc!$K$66:$L$76,2,FALSE)</f>
        <v>#N/A</v>
      </c>
      <c r="D663" s="81" t="e">
        <f ca="1">VLOOKUP(B663,Calc!$K$77:$L$87,2,FALSE)</f>
        <v>#N/A</v>
      </c>
      <c r="E663" s="523" t="e">
        <f ca="1">VLOOKUP(B663,Calc!$K$88:$L$98,2,FALSE)</f>
        <v>#N/A</v>
      </c>
      <c r="F663" s="523" t="e">
        <f ca="1">IF(Errorhandling!$C$42,INDEX(Calc!$J$99:$J$109,MATCH(Display!B663,Calc!$K$99:$K$109,0),1),#N/A)</f>
        <v>#N/A</v>
      </c>
    </row>
    <row r="664" spans="2:6" x14ac:dyDescent="0.2">
      <c r="B664" s="6">
        <f t="shared" si="14"/>
        <v>661</v>
      </c>
      <c r="C664" s="81" t="e">
        <f ca="1">VLOOKUP(B664,Calc!$K$66:$L$76,2,FALSE)</f>
        <v>#N/A</v>
      </c>
      <c r="D664" s="81" t="e">
        <f ca="1">VLOOKUP(B664,Calc!$K$77:$L$87,2,FALSE)</f>
        <v>#N/A</v>
      </c>
      <c r="E664" s="523" t="e">
        <f ca="1">VLOOKUP(B664,Calc!$K$88:$L$98,2,FALSE)</f>
        <v>#N/A</v>
      </c>
      <c r="F664" s="523" t="e">
        <f ca="1">IF(Errorhandling!$C$42,INDEX(Calc!$J$99:$J$109,MATCH(Display!B664,Calc!$K$99:$K$109,0),1),#N/A)</f>
        <v>#N/A</v>
      </c>
    </row>
    <row r="665" spans="2:6" x14ac:dyDescent="0.2">
      <c r="B665" s="6">
        <f t="shared" si="14"/>
        <v>662</v>
      </c>
      <c r="C665" s="81" t="e">
        <f ca="1">VLOOKUP(B665,Calc!$K$66:$L$76,2,FALSE)</f>
        <v>#N/A</v>
      </c>
      <c r="D665" s="81" t="e">
        <f ca="1">VLOOKUP(B665,Calc!$K$77:$L$87,2,FALSE)</f>
        <v>#N/A</v>
      </c>
      <c r="E665" s="523" t="e">
        <f ca="1">VLOOKUP(B665,Calc!$K$88:$L$98,2,FALSE)</f>
        <v>#N/A</v>
      </c>
      <c r="F665" s="523" t="e">
        <f ca="1">IF(Errorhandling!$C$42,INDEX(Calc!$J$99:$J$109,MATCH(Display!B665,Calc!$K$99:$K$109,0),1),#N/A)</f>
        <v>#N/A</v>
      </c>
    </row>
    <row r="666" spans="2:6" x14ac:dyDescent="0.2">
      <c r="B666" s="6">
        <f t="shared" si="14"/>
        <v>663</v>
      </c>
      <c r="C666" s="81" t="e">
        <f ca="1">VLOOKUP(B666,Calc!$K$66:$L$76,2,FALSE)</f>
        <v>#N/A</v>
      </c>
      <c r="D666" s="81" t="e">
        <f ca="1">VLOOKUP(B666,Calc!$K$77:$L$87,2,FALSE)</f>
        <v>#N/A</v>
      </c>
      <c r="E666" s="523" t="e">
        <f ca="1">VLOOKUP(B666,Calc!$K$88:$L$98,2,FALSE)</f>
        <v>#N/A</v>
      </c>
      <c r="F666" s="523" t="e">
        <f ca="1">IF(Errorhandling!$C$42,INDEX(Calc!$J$99:$J$109,MATCH(Display!B666,Calc!$K$99:$K$109,0),1),#N/A)</f>
        <v>#N/A</v>
      </c>
    </row>
    <row r="667" spans="2:6" x14ac:dyDescent="0.2">
      <c r="B667" s="6">
        <f t="shared" si="14"/>
        <v>664</v>
      </c>
      <c r="C667" s="81" t="e">
        <f ca="1">VLOOKUP(B667,Calc!$K$66:$L$76,2,FALSE)</f>
        <v>#N/A</v>
      </c>
      <c r="D667" s="81" t="e">
        <f ca="1">VLOOKUP(B667,Calc!$K$77:$L$87,2,FALSE)</f>
        <v>#N/A</v>
      </c>
      <c r="E667" s="523" t="e">
        <f ca="1">VLOOKUP(B667,Calc!$K$88:$L$98,2,FALSE)</f>
        <v>#N/A</v>
      </c>
      <c r="F667" s="523" t="e">
        <f ca="1">IF(Errorhandling!$C$42,INDEX(Calc!$J$99:$J$109,MATCH(Display!B667,Calc!$K$99:$K$109,0),1),#N/A)</f>
        <v>#N/A</v>
      </c>
    </row>
    <row r="668" spans="2:6" x14ac:dyDescent="0.2">
      <c r="B668" s="6">
        <f t="shared" si="14"/>
        <v>665</v>
      </c>
      <c r="C668" s="81" t="e">
        <f ca="1">VLOOKUP(B668,Calc!$K$66:$L$76,2,FALSE)</f>
        <v>#N/A</v>
      </c>
      <c r="D668" s="81" t="e">
        <f ca="1">VLOOKUP(B668,Calc!$K$77:$L$87,2,FALSE)</f>
        <v>#N/A</v>
      </c>
      <c r="E668" s="523" t="e">
        <f ca="1">VLOOKUP(B668,Calc!$K$88:$L$98,2,FALSE)</f>
        <v>#N/A</v>
      </c>
      <c r="F668" s="523" t="e">
        <f ca="1">IF(Errorhandling!$C$42,INDEX(Calc!$J$99:$J$109,MATCH(Display!B668,Calc!$K$99:$K$109,0),1),#N/A)</f>
        <v>#N/A</v>
      </c>
    </row>
    <row r="669" spans="2:6" x14ac:dyDescent="0.2">
      <c r="B669" s="6">
        <f t="shared" si="14"/>
        <v>666</v>
      </c>
      <c r="C669" s="81" t="e">
        <f ca="1">VLOOKUP(B669,Calc!$K$66:$L$76,2,FALSE)</f>
        <v>#N/A</v>
      </c>
      <c r="D669" s="81" t="e">
        <f ca="1">VLOOKUP(B669,Calc!$K$77:$L$87,2,FALSE)</f>
        <v>#N/A</v>
      </c>
      <c r="E669" s="523" t="e">
        <f ca="1">VLOOKUP(B669,Calc!$K$88:$L$98,2,FALSE)</f>
        <v>#N/A</v>
      </c>
      <c r="F669" s="523" t="e">
        <f ca="1">IF(Errorhandling!$C$42,INDEX(Calc!$J$99:$J$109,MATCH(Display!B669,Calc!$K$99:$K$109,0),1),#N/A)</f>
        <v>#N/A</v>
      </c>
    </row>
    <row r="670" spans="2:6" x14ac:dyDescent="0.2">
      <c r="B670" s="6">
        <f t="shared" si="14"/>
        <v>667</v>
      </c>
      <c r="C670" s="81" t="e">
        <f ca="1">VLOOKUP(B670,Calc!$K$66:$L$76,2,FALSE)</f>
        <v>#N/A</v>
      </c>
      <c r="D670" s="81" t="e">
        <f ca="1">VLOOKUP(B670,Calc!$K$77:$L$87,2,FALSE)</f>
        <v>#N/A</v>
      </c>
      <c r="E670" s="523" t="e">
        <f ca="1">VLOOKUP(B670,Calc!$K$88:$L$98,2,FALSE)</f>
        <v>#N/A</v>
      </c>
      <c r="F670" s="523" t="e">
        <f ca="1">IF(Errorhandling!$C$42,INDEX(Calc!$J$99:$J$109,MATCH(Display!B670,Calc!$K$99:$K$109,0),1),#N/A)</f>
        <v>#N/A</v>
      </c>
    </row>
    <row r="671" spans="2:6" x14ac:dyDescent="0.2">
      <c r="B671" s="6">
        <f t="shared" si="14"/>
        <v>668</v>
      </c>
      <c r="C671" s="81" t="e">
        <f ca="1">VLOOKUP(B671,Calc!$K$66:$L$76,2,FALSE)</f>
        <v>#N/A</v>
      </c>
      <c r="D671" s="81" t="e">
        <f ca="1">VLOOKUP(B671,Calc!$K$77:$L$87,2,FALSE)</f>
        <v>#N/A</v>
      </c>
      <c r="E671" s="523" t="e">
        <f ca="1">VLOOKUP(B671,Calc!$K$88:$L$98,2,FALSE)</f>
        <v>#N/A</v>
      </c>
      <c r="F671" s="523" t="e">
        <f ca="1">IF(Errorhandling!$C$42,INDEX(Calc!$J$99:$J$109,MATCH(Display!B671,Calc!$K$99:$K$109,0),1),#N/A)</f>
        <v>#N/A</v>
      </c>
    </row>
    <row r="672" spans="2:6" x14ac:dyDescent="0.2">
      <c r="B672" s="6">
        <f t="shared" si="14"/>
        <v>669</v>
      </c>
      <c r="C672" s="81" t="e">
        <f ca="1">VLOOKUP(B672,Calc!$K$66:$L$76,2,FALSE)</f>
        <v>#N/A</v>
      </c>
      <c r="D672" s="81" t="e">
        <f ca="1">VLOOKUP(B672,Calc!$K$77:$L$87,2,FALSE)</f>
        <v>#N/A</v>
      </c>
      <c r="E672" s="523" t="e">
        <f ca="1">VLOOKUP(B672,Calc!$K$88:$L$98,2,FALSE)</f>
        <v>#N/A</v>
      </c>
      <c r="F672" s="523" t="e">
        <f ca="1">IF(Errorhandling!$C$42,INDEX(Calc!$J$99:$J$109,MATCH(Display!B672,Calc!$K$99:$K$109,0),1),#N/A)</f>
        <v>#N/A</v>
      </c>
    </row>
    <row r="673" spans="2:6" x14ac:dyDescent="0.2">
      <c r="B673" s="6">
        <f t="shared" si="14"/>
        <v>670</v>
      </c>
      <c r="C673" s="81" t="e">
        <f ca="1">VLOOKUP(B673,Calc!$K$66:$L$76,2,FALSE)</f>
        <v>#N/A</v>
      </c>
      <c r="D673" s="81" t="e">
        <f ca="1">VLOOKUP(B673,Calc!$K$77:$L$87,2,FALSE)</f>
        <v>#N/A</v>
      </c>
      <c r="E673" s="523" t="e">
        <f ca="1">VLOOKUP(B673,Calc!$K$88:$L$98,2,FALSE)</f>
        <v>#N/A</v>
      </c>
      <c r="F673" s="523" t="e">
        <f ca="1">IF(Errorhandling!$C$42,INDEX(Calc!$J$99:$J$109,MATCH(Display!B673,Calc!$K$99:$K$109,0),1),#N/A)</f>
        <v>#N/A</v>
      </c>
    </row>
    <row r="674" spans="2:6" x14ac:dyDescent="0.2">
      <c r="B674" s="6">
        <f t="shared" si="14"/>
        <v>671</v>
      </c>
      <c r="C674" s="81" t="e">
        <f ca="1">VLOOKUP(B674,Calc!$K$66:$L$76,2,FALSE)</f>
        <v>#N/A</v>
      </c>
      <c r="D674" s="81" t="e">
        <f ca="1">VLOOKUP(B674,Calc!$K$77:$L$87,2,FALSE)</f>
        <v>#N/A</v>
      </c>
      <c r="E674" s="523" t="e">
        <f ca="1">VLOOKUP(B674,Calc!$K$88:$L$98,2,FALSE)</f>
        <v>#N/A</v>
      </c>
      <c r="F674" s="523" t="e">
        <f ca="1">IF(Errorhandling!$C$42,INDEX(Calc!$J$99:$J$109,MATCH(Display!B674,Calc!$K$99:$K$109,0),1),#N/A)</f>
        <v>#N/A</v>
      </c>
    </row>
    <row r="675" spans="2:6" x14ac:dyDescent="0.2">
      <c r="B675" s="6">
        <f t="shared" si="14"/>
        <v>672</v>
      </c>
      <c r="C675" s="81" t="e">
        <f ca="1">VLOOKUP(B675,Calc!$K$66:$L$76,2,FALSE)</f>
        <v>#N/A</v>
      </c>
      <c r="D675" s="81" t="e">
        <f ca="1">VLOOKUP(B675,Calc!$K$77:$L$87,2,FALSE)</f>
        <v>#N/A</v>
      </c>
      <c r="E675" s="523" t="e">
        <f ca="1">VLOOKUP(B675,Calc!$K$88:$L$98,2,FALSE)</f>
        <v>#N/A</v>
      </c>
      <c r="F675" s="523" t="e">
        <f ca="1">IF(Errorhandling!$C$42,INDEX(Calc!$J$99:$J$109,MATCH(Display!B675,Calc!$K$99:$K$109,0),1),#N/A)</f>
        <v>#N/A</v>
      </c>
    </row>
    <row r="676" spans="2:6" x14ac:dyDescent="0.2">
      <c r="B676" s="6">
        <f t="shared" si="14"/>
        <v>673</v>
      </c>
      <c r="C676" s="81" t="e">
        <f ca="1">VLOOKUP(B676,Calc!$K$66:$L$76,2,FALSE)</f>
        <v>#N/A</v>
      </c>
      <c r="D676" s="81" t="e">
        <f ca="1">VLOOKUP(B676,Calc!$K$77:$L$87,2,FALSE)</f>
        <v>#N/A</v>
      </c>
      <c r="E676" s="523" t="e">
        <f ca="1">VLOOKUP(B676,Calc!$K$88:$L$98,2,FALSE)</f>
        <v>#N/A</v>
      </c>
      <c r="F676" s="523" t="e">
        <f ca="1">IF(Errorhandling!$C$42,INDEX(Calc!$J$99:$J$109,MATCH(Display!B676,Calc!$K$99:$K$109,0),1),#N/A)</f>
        <v>#N/A</v>
      </c>
    </row>
    <row r="677" spans="2:6" x14ac:dyDescent="0.2">
      <c r="B677" s="6">
        <f t="shared" si="14"/>
        <v>674</v>
      </c>
      <c r="C677" s="81" t="e">
        <f ca="1">VLOOKUP(B677,Calc!$K$66:$L$76,2,FALSE)</f>
        <v>#N/A</v>
      </c>
      <c r="D677" s="81" t="e">
        <f ca="1">VLOOKUP(B677,Calc!$K$77:$L$87,2,FALSE)</f>
        <v>#N/A</v>
      </c>
      <c r="E677" s="523" t="e">
        <f ca="1">VLOOKUP(B677,Calc!$K$88:$L$98,2,FALSE)</f>
        <v>#N/A</v>
      </c>
      <c r="F677" s="523" t="e">
        <f ca="1">IF(Errorhandling!$C$42,INDEX(Calc!$J$99:$J$109,MATCH(Display!B677,Calc!$K$99:$K$109,0),1),#N/A)</f>
        <v>#N/A</v>
      </c>
    </row>
    <row r="678" spans="2:6" x14ac:dyDescent="0.2">
      <c r="B678" s="6">
        <f t="shared" si="14"/>
        <v>675</v>
      </c>
      <c r="C678" s="81" t="e">
        <f ca="1">VLOOKUP(B678,Calc!$K$66:$L$76,2,FALSE)</f>
        <v>#N/A</v>
      </c>
      <c r="D678" s="81" t="e">
        <f ca="1">VLOOKUP(B678,Calc!$K$77:$L$87,2,FALSE)</f>
        <v>#N/A</v>
      </c>
      <c r="E678" s="523" t="e">
        <f ca="1">VLOOKUP(B678,Calc!$K$88:$L$98,2,FALSE)</f>
        <v>#N/A</v>
      </c>
      <c r="F678" s="523" t="e">
        <f ca="1">IF(Errorhandling!$C$42,INDEX(Calc!$J$99:$J$109,MATCH(Display!B678,Calc!$K$99:$K$109,0),1),#N/A)</f>
        <v>#N/A</v>
      </c>
    </row>
    <row r="679" spans="2:6" x14ac:dyDescent="0.2">
      <c r="B679" s="6">
        <f t="shared" si="14"/>
        <v>676</v>
      </c>
      <c r="C679" s="81" t="e">
        <f ca="1">VLOOKUP(B679,Calc!$K$66:$L$76,2,FALSE)</f>
        <v>#N/A</v>
      </c>
      <c r="D679" s="81" t="e">
        <f ca="1">VLOOKUP(B679,Calc!$K$77:$L$87,2,FALSE)</f>
        <v>#N/A</v>
      </c>
      <c r="E679" s="523" t="e">
        <f ca="1">VLOOKUP(B679,Calc!$K$88:$L$98,2,FALSE)</f>
        <v>#N/A</v>
      </c>
      <c r="F679" s="523" t="e">
        <f ca="1">IF(Errorhandling!$C$42,INDEX(Calc!$J$99:$J$109,MATCH(Display!B679,Calc!$K$99:$K$109,0),1),#N/A)</f>
        <v>#N/A</v>
      </c>
    </row>
    <row r="680" spans="2:6" x14ac:dyDescent="0.2">
      <c r="B680" s="6">
        <f t="shared" si="14"/>
        <v>677</v>
      </c>
      <c r="C680" s="81" t="e">
        <f ca="1">VLOOKUP(B680,Calc!$K$66:$L$76,2,FALSE)</f>
        <v>#N/A</v>
      </c>
      <c r="D680" s="81" t="e">
        <f ca="1">VLOOKUP(B680,Calc!$K$77:$L$87,2,FALSE)</f>
        <v>#N/A</v>
      </c>
      <c r="E680" s="523" t="e">
        <f ca="1">VLOOKUP(B680,Calc!$K$88:$L$98,2,FALSE)</f>
        <v>#N/A</v>
      </c>
      <c r="F680" s="523" t="e">
        <f ca="1">IF(Errorhandling!$C$42,INDEX(Calc!$J$99:$J$109,MATCH(Display!B680,Calc!$K$99:$K$109,0),1),#N/A)</f>
        <v>#N/A</v>
      </c>
    </row>
    <row r="681" spans="2:6" x14ac:dyDescent="0.2">
      <c r="B681" s="6">
        <f t="shared" si="14"/>
        <v>678</v>
      </c>
      <c r="C681" s="81" t="e">
        <f ca="1">VLOOKUP(B681,Calc!$K$66:$L$76,2,FALSE)</f>
        <v>#N/A</v>
      </c>
      <c r="D681" s="81" t="e">
        <f ca="1">VLOOKUP(B681,Calc!$K$77:$L$87,2,FALSE)</f>
        <v>#N/A</v>
      </c>
      <c r="E681" s="523" t="e">
        <f ca="1">VLOOKUP(B681,Calc!$K$88:$L$98,2,FALSE)</f>
        <v>#N/A</v>
      </c>
      <c r="F681" s="523" t="e">
        <f ca="1">IF(Errorhandling!$C$42,INDEX(Calc!$J$99:$J$109,MATCH(Display!B681,Calc!$K$99:$K$109,0),1),#N/A)</f>
        <v>#N/A</v>
      </c>
    </row>
    <row r="682" spans="2:6" x14ac:dyDescent="0.2">
      <c r="B682" s="6">
        <f t="shared" si="14"/>
        <v>679</v>
      </c>
      <c r="C682" s="81" t="e">
        <f ca="1">VLOOKUP(B682,Calc!$K$66:$L$76,2,FALSE)</f>
        <v>#N/A</v>
      </c>
      <c r="D682" s="81" t="e">
        <f ca="1">VLOOKUP(B682,Calc!$K$77:$L$87,2,FALSE)</f>
        <v>#N/A</v>
      </c>
      <c r="E682" s="523" t="e">
        <f ca="1">VLOOKUP(B682,Calc!$K$88:$L$98,2,FALSE)</f>
        <v>#N/A</v>
      </c>
      <c r="F682" s="523" t="e">
        <f ca="1">IF(Errorhandling!$C$42,INDEX(Calc!$J$99:$J$109,MATCH(Display!B682,Calc!$K$99:$K$109,0),1),#N/A)</f>
        <v>#N/A</v>
      </c>
    </row>
    <row r="683" spans="2:6" x14ac:dyDescent="0.2">
      <c r="B683" s="6">
        <f t="shared" si="14"/>
        <v>680</v>
      </c>
      <c r="C683" s="81" t="e">
        <f ca="1">VLOOKUP(B683,Calc!$K$66:$L$76,2,FALSE)</f>
        <v>#N/A</v>
      </c>
      <c r="D683" s="81" t="e">
        <f ca="1">VLOOKUP(B683,Calc!$K$77:$L$87,2,FALSE)</f>
        <v>#N/A</v>
      </c>
      <c r="E683" s="523" t="e">
        <f ca="1">VLOOKUP(B683,Calc!$K$88:$L$98,2,FALSE)</f>
        <v>#N/A</v>
      </c>
      <c r="F683" s="523" t="e">
        <f ca="1">IF(Errorhandling!$C$42,INDEX(Calc!$J$99:$J$109,MATCH(Display!B683,Calc!$K$99:$K$109,0),1),#N/A)</f>
        <v>#N/A</v>
      </c>
    </row>
    <row r="684" spans="2:6" x14ac:dyDescent="0.2">
      <c r="B684" s="6">
        <f t="shared" si="14"/>
        <v>681</v>
      </c>
      <c r="C684" s="81" t="e">
        <f ca="1">VLOOKUP(B684,Calc!$K$66:$L$76,2,FALSE)</f>
        <v>#N/A</v>
      </c>
      <c r="D684" s="81" t="e">
        <f ca="1">VLOOKUP(B684,Calc!$K$77:$L$87,2,FALSE)</f>
        <v>#N/A</v>
      </c>
      <c r="E684" s="523" t="e">
        <f ca="1">VLOOKUP(B684,Calc!$K$88:$L$98,2,FALSE)</f>
        <v>#N/A</v>
      </c>
      <c r="F684" s="523" t="e">
        <f ca="1">IF(Errorhandling!$C$42,INDEX(Calc!$J$99:$J$109,MATCH(Display!B684,Calc!$K$99:$K$109,0),1),#N/A)</f>
        <v>#N/A</v>
      </c>
    </row>
    <row r="685" spans="2:6" x14ac:dyDescent="0.2">
      <c r="B685" s="6">
        <f t="shared" si="14"/>
        <v>682</v>
      </c>
      <c r="C685" s="81" t="e">
        <f ca="1">VLOOKUP(B685,Calc!$K$66:$L$76,2,FALSE)</f>
        <v>#N/A</v>
      </c>
      <c r="D685" s="81" t="e">
        <f ca="1">VLOOKUP(B685,Calc!$K$77:$L$87,2,FALSE)</f>
        <v>#N/A</v>
      </c>
      <c r="E685" s="523" t="e">
        <f ca="1">VLOOKUP(B685,Calc!$K$88:$L$98,2,FALSE)</f>
        <v>#N/A</v>
      </c>
      <c r="F685" s="523" t="e">
        <f ca="1">IF(Errorhandling!$C$42,INDEX(Calc!$J$99:$J$109,MATCH(Display!B685,Calc!$K$99:$K$109,0),1),#N/A)</f>
        <v>#N/A</v>
      </c>
    </row>
    <row r="686" spans="2:6" x14ac:dyDescent="0.2">
      <c r="B686" s="6">
        <f t="shared" si="14"/>
        <v>683</v>
      </c>
      <c r="C686" s="81" t="e">
        <f ca="1">VLOOKUP(B686,Calc!$K$66:$L$76,2,FALSE)</f>
        <v>#N/A</v>
      </c>
      <c r="D686" s="81" t="e">
        <f ca="1">VLOOKUP(B686,Calc!$K$77:$L$87,2,FALSE)</f>
        <v>#N/A</v>
      </c>
      <c r="E686" s="523" t="e">
        <f ca="1">VLOOKUP(B686,Calc!$K$88:$L$98,2,FALSE)</f>
        <v>#N/A</v>
      </c>
      <c r="F686" s="523" t="e">
        <f ca="1">IF(Errorhandling!$C$42,INDEX(Calc!$J$99:$J$109,MATCH(Display!B686,Calc!$K$99:$K$109,0),1),#N/A)</f>
        <v>#N/A</v>
      </c>
    </row>
    <row r="687" spans="2:6" x14ac:dyDescent="0.2">
      <c r="B687" s="6">
        <f t="shared" si="14"/>
        <v>684</v>
      </c>
      <c r="C687" s="81" t="e">
        <f ca="1">VLOOKUP(B687,Calc!$K$66:$L$76,2,FALSE)</f>
        <v>#N/A</v>
      </c>
      <c r="D687" s="81" t="e">
        <f ca="1">VLOOKUP(B687,Calc!$K$77:$L$87,2,FALSE)</f>
        <v>#N/A</v>
      </c>
      <c r="E687" s="523" t="e">
        <f ca="1">VLOOKUP(B687,Calc!$K$88:$L$98,2,FALSE)</f>
        <v>#N/A</v>
      </c>
      <c r="F687" s="523" t="e">
        <f ca="1">IF(Errorhandling!$C$42,INDEX(Calc!$J$99:$J$109,MATCH(Display!B687,Calc!$K$99:$K$109,0),1),#N/A)</f>
        <v>#N/A</v>
      </c>
    </row>
    <row r="688" spans="2:6" x14ac:dyDescent="0.2">
      <c r="B688" s="6">
        <f t="shared" si="14"/>
        <v>685</v>
      </c>
      <c r="C688" s="81" t="e">
        <f ca="1">VLOOKUP(B688,Calc!$K$66:$L$76,2,FALSE)</f>
        <v>#N/A</v>
      </c>
      <c r="D688" s="81" t="e">
        <f ca="1">VLOOKUP(B688,Calc!$K$77:$L$87,2,FALSE)</f>
        <v>#N/A</v>
      </c>
      <c r="E688" s="523" t="e">
        <f ca="1">VLOOKUP(B688,Calc!$K$88:$L$98,2,FALSE)</f>
        <v>#N/A</v>
      </c>
      <c r="F688" s="523" t="e">
        <f ca="1">IF(Errorhandling!$C$42,INDEX(Calc!$J$99:$J$109,MATCH(Display!B688,Calc!$K$99:$K$109,0),1),#N/A)</f>
        <v>#N/A</v>
      </c>
    </row>
    <row r="689" spans="2:6" x14ac:dyDescent="0.2">
      <c r="B689" s="6">
        <f t="shared" si="14"/>
        <v>686</v>
      </c>
      <c r="C689" s="81" t="e">
        <f ca="1">VLOOKUP(B689,Calc!$K$66:$L$76,2,FALSE)</f>
        <v>#N/A</v>
      </c>
      <c r="D689" s="81" t="e">
        <f ca="1">VLOOKUP(B689,Calc!$K$77:$L$87,2,FALSE)</f>
        <v>#N/A</v>
      </c>
      <c r="E689" s="523" t="e">
        <f ca="1">VLOOKUP(B689,Calc!$K$88:$L$98,2,FALSE)</f>
        <v>#N/A</v>
      </c>
      <c r="F689" s="523" t="e">
        <f ca="1">IF(Errorhandling!$C$42,INDEX(Calc!$J$99:$J$109,MATCH(Display!B689,Calc!$K$99:$K$109,0),1),#N/A)</f>
        <v>#N/A</v>
      </c>
    </row>
    <row r="690" spans="2:6" x14ac:dyDescent="0.2">
      <c r="B690" s="6">
        <f t="shared" si="14"/>
        <v>687</v>
      </c>
      <c r="C690" s="81" t="e">
        <f ca="1">VLOOKUP(B690,Calc!$K$66:$L$76,2,FALSE)</f>
        <v>#N/A</v>
      </c>
      <c r="D690" s="81" t="e">
        <f ca="1">VLOOKUP(B690,Calc!$K$77:$L$87,2,FALSE)</f>
        <v>#N/A</v>
      </c>
      <c r="E690" s="523" t="e">
        <f ca="1">VLOOKUP(B690,Calc!$K$88:$L$98,2,FALSE)</f>
        <v>#N/A</v>
      </c>
      <c r="F690" s="523" t="e">
        <f ca="1">IF(Errorhandling!$C$42,INDEX(Calc!$J$99:$J$109,MATCH(Display!B690,Calc!$K$99:$K$109,0),1),#N/A)</f>
        <v>#N/A</v>
      </c>
    </row>
    <row r="691" spans="2:6" x14ac:dyDescent="0.2">
      <c r="B691" s="6">
        <f t="shared" si="14"/>
        <v>688</v>
      </c>
      <c r="C691" s="81" t="e">
        <f ca="1">VLOOKUP(B691,Calc!$K$66:$L$76,2,FALSE)</f>
        <v>#N/A</v>
      </c>
      <c r="D691" s="81" t="e">
        <f ca="1">VLOOKUP(B691,Calc!$K$77:$L$87,2,FALSE)</f>
        <v>#N/A</v>
      </c>
      <c r="E691" s="523" t="e">
        <f ca="1">VLOOKUP(B691,Calc!$K$88:$L$98,2,FALSE)</f>
        <v>#N/A</v>
      </c>
      <c r="F691" s="523" t="e">
        <f ca="1">IF(Errorhandling!$C$42,INDEX(Calc!$J$99:$J$109,MATCH(Display!B691,Calc!$K$99:$K$109,0),1),#N/A)</f>
        <v>#N/A</v>
      </c>
    </row>
    <row r="692" spans="2:6" x14ac:dyDescent="0.2">
      <c r="B692" s="6">
        <f t="shared" si="14"/>
        <v>689</v>
      </c>
      <c r="C692" s="81" t="e">
        <f ca="1">VLOOKUP(B692,Calc!$K$66:$L$76,2,FALSE)</f>
        <v>#N/A</v>
      </c>
      <c r="D692" s="81" t="e">
        <f ca="1">VLOOKUP(B692,Calc!$K$77:$L$87,2,FALSE)</f>
        <v>#N/A</v>
      </c>
      <c r="E692" s="523" t="e">
        <f ca="1">VLOOKUP(B692,Calc!$K$88:$L$98,2,FALSE)</f>
        <v>#N/A</v>
      </c>
      <c r="F692" s="523" t="e">
        <f ca="1">IF(Errorhandling!$C$42,INDEX(Calc!$J$99:$J$109,MATCH(Display!B692,Calc!$K$99:$K$109,0),1),#N/A)</f>
        <v>#N/A</v>
      </c>
    </row>
    <row r="693" spans="2:6" x14ac:dyDescent="0.2">
      <c r="B693" s="6">
        <f t="shared" si="14"/>
        <v>690</v>
      </c>
      <c r="C693" s="81" t="e">
        <f ca="1">VLOOKUP(B693,Calc!$K$66:$L$76,2,FALSE)</f>
        <v>#N/A</v>
      </c>
      <c r="D693" s="81" t="e">
        <f ca="1">VLOOKUP(B693,Calc!$K$77:$L$87,2,FALSE)</f>
        <v>#N/A</v>
      </c>
      <c r="E693" s="523" t="e">
        <f ca="1">VLOOKUP(B693,Calc!$K$88:$L$98,2,FALSE)</f>
        <v>#N/A</v>
      </c>
      <c r="F693" s="523" t="e">
        <f ca="1">IF(Errorhandling!$C$42,INDEX(Calc!$J$99:$J$109,MATCH(Display!B693,Calc!$K$99:$K$109,0),1),#N/A)</f>
        <v>#N/A</v>
      </c>
    </row>
    <row r="694" spans="2:6" x14ac:dyDescent="0.2">
      <c r="B694" s="6">
        <f t="shared" si="14"/>
        <v>691</v>
      </c>
      <c r="C694" s="81" t="e">
        <f ca="1">VLOOKUP(B694,Calc!$K$66:$L$76,2,FALSE)</f>
        <v>#N/A</v>
      </c>
      <c r="D694" s="81" t="e">
        <f ca="1">VLOOKUP(B694,Calc!$K$77:$L$87,2,FALSE)</f>
        <v>#N/A</v>
      </c>
      <c r="E694" s="523" t="e">
        <f ca="1">VLOOKUP(B694,Calc!$K$88:$L$98,2,FALSE)</f>
        <v>#N/A</v>
      </c>
      <c r="F694" s="523" t="e">
        <f ca="1">IF(Errorhandling!$C$42,INDEX(Calc!$J$99:$J$109,MATCH(Display!B694,Calc!$K$99:$K$109,0),1),#N/A)</f>
        <v>#N/A</v>
      </c>
    </row>
    <row r="695" spans="2:6" x14ac:dyDescent="0.2">
      <c r="B695" s="6">
        <f t="shared" si="14"/>
        <v>692</v>
      </c>
      <c r="C695" s="81" t="e">
        <f ca="1">VLOOKUP(B695,Calc!$K$66:$L$76,2,FALSE)</f>
        <v>#N/A</v>
      </c>
      <c r="D695" s="81" t="e">
        <f ca="1">VLOOKUP(B695,Calc!$K$77:$L$87,2,FALSE)</f>
        <v>#N/A</v>
      </c>
      <c r="E695" s="523" t="e">
        <f ca="1">VLOOKUP(B695,Calc!$K$88:$L$98,2,FALSE)</f>
        <v>#N/A</v>
      </c>
      <c r="F695" s="523" t="e">
        <f ca="1">IF(Errorhandling!$C$42,INDEX(Calc!$J$99:$J$109,MATCH(Display!B695,Calc!$K$99:$K$109,0),1),#N/A)</f>
        <v>#N/A</v>
      </c>
    </row>
    <row r="696" spans="2:6" x14ac:dyDescent="0.2">
      <c r="B696" s="6">
        <f t="shared" si="14"/>
        <v>693</v>
      </c>
      <c r="C696" s="81" t="e">
        <f ca="1">VLOOKUP(B696,Calc!$K$66:$L$76,2,FALSE)</f>
        <v>#N/A</v>
      </c>
      <c r="D696" s="81" t="e">
        <f ca="1">VLOOKUP(B696,Calc!$K$77:$L$87,2,FALSE)</f>
        <v>#N/A</v>
      </c>
      <c r="E696" s="523" t="e">
        <f ca="1">VLOOKUP(B696,Calc!$K$88:$L$98,2,FALSE)</f>
        <v>#N/A</v>
      </c>
      <c r="F696" s="523" t="e">
        <f ca="1">IF(Errorhandling!$C$42,INDEX(Calc!$J$99:$J$109,MATCH(Display!B696,Calc!$K$99:$K$109,0),1),#N/A)</f>
        <v>#N/A</v>
      </c>
    </row>
    <row r="697" spans="2:6" x14ac:dyDescent="0.2">
      <c r="B697" s="6">
        <f t="shared" si="14"/>
        <v>694</v>
      </c>
      <c r="C697" s="81" t="e">
        <f ca="1">VLOOKUP(B697,Calc!$K$66:$L$76,2,FALSE)</f>
        <v>#N/A</v>
      </c>
      <c r="D697" s="81" t="e">
        <f ca="1">VLOOKUP(B697,Calc!$K$77:$L$87,2,FALSE)</f>
        <v>#N/A</v>
      </c>
      <c r="E697" s="523" t="e">
        <f ca="1">VLOOKUP(B697,Calc!$K$88:$L$98,2,FALSE)</f>
        <v>#N/A</v>
      </c>
      <c r="F697" s="523" t="e">
        <f ca="1">IF(Errorhandling!$C$42,INDEX(Calc!$J$99:$J$109,MATCH(Display!B697,Calc!$K$99:$K$109,0),1),#N/A)</f>
        <v>#N/A</v>
      </c>
    </row>
    <row r="698" spans="2:6" x14ac:dyDescent="0.2">
      <c r="B698" s="6">
        <f t="shared" si="14"/>
        <v>695</v>
      </c>
      <c r="C698" s="81" t="e">
        <f ca="1">VLOOKUP(B698,Calc!$K$66:$L$76,2,FALSE)</f>
        <v>#N/A</v>
      </c>
      <c r="D698" s="81" t="e">
        <f ca="1">VLOOKUP(B698,Calc!$K$77:$L$87,2,FALSE)</f>
        <v>#N/A</v>
      </c>
      <c r="E698" s="523" t="e">
        <f ca="1">VLOOKUP(B698,Calc!$K$88:$L$98,2,FALSE)</f>
        <v>#N/A</v>
      </c>
      <c r="F698" s="523" t="e">
        <f ca="1">IF(Errorhandling!$C$42,INDEX(Calc!$J$99:$J$109,MATCH(Display!B698,Calc!$K$99:$K$109,0),1),#N/A)</f>
        <v>#N/A</v>
      </c>
    </row>
    <row r="699" spans="2:6" x14ac:dyDescent="0.2">
      <c r="B699" s="6">
        <f t="shared" si="14"/>
        <v>696</v>
      </c>
      <c r="C699" s="81" t="e">
        <f ca="1">VLOOKUP(B699,Calc!$K$66:$L$76,2,FALSE)</f>
        <v>#N/A</v>
      </c>
      <c r="D699" s="81" t="e">
        <f ca="1">VLOOKUP(B699,Calc!$K$77:$L$87,2,FALSE)</f>
        <v>#N/A</v>
      </c>
      <c r="E699" s="523" t="e">
        <f ca="1">VLOOKUP(B699,Calc!$K$88:$L$98,2,FALSE)</f>
        <v>#N/A</v>
      </c>
      <c r="F699" s="523" t="e">
        <f ca="1">IF(Errorhandling!$C$42,INDEX(Calc!$J$99:$J$109,MATCH(Display!B699,Calc!$K$99:$K$109,0),1),#N/A)</f>
        <v>#N/A</v>
      </c>
    </row>
    <row r="700" spans="2:6" x14ac:dyDescent="0.2">
      <c r="B700" s="6">
        <f t="shared" si="14"/>
        <v>697</v>
      </c>
      <c r="C700" s="81" t="e">
        <f ca="1">VLOOKUP(B700,Calc!$K$66:$L$76,2,FALSE)</f>
        <v>#N/A</v>
      </c>
      <c r="D700" s="81" t="e">
        <f ca="1">VLOOKUP(B700,Calc!$K$77:$L$87,2,FALSE)</f>
        <v>#N/A</v>
      </c>
      <c r="E700" s="523" t="e">
        <f ca="1">VLOOKUP(B700,Calc!$K$88:$L$98,2,FALSE)</f>
        <v>#N/A</v>
      </c>
      <c r="F700" s="523" t="e">
        <f ca="1">IF(Errorhandling!$C$42,INDEX(Calc!$J$99:$J$109,MATCH(Display!B700,Calc!$K$99:$K$109,0),1),#N/A)</f>
        <v>#N/A</v>
      </c>
    </row>
    <row r="701" spans="2:6" x14ac:dyDescent="0.2">
      <c r="B701" s="6">
        <f t="shared" si="14"/>
        <v>698</v>
      </c>
      <c r="C701" s="81" t="e">
        <f ca="1">VLOOKUP(B701,Calc!$K$66:$L$76,2,FALSE)</f>
        <v>#N/A</v>
      </c>
      <c r="D701" s="81" t="e">
        <f ca="1">VLOOKUP(B701,Calc!$K$77:$L$87,2,FALSE)</f>
        <v>#N/A</v>
      </c>
      <c r="E701" s="523" t="e">
        <f ca="1">VLOOKUP(B701,Calc!$K$88:$L$98,2,FALSE)</f>
        <v>#N/A</v>
      </c>
      <c r="F701" s="523" t="e">
        <f ca="1">IF(Errorhandling!$C$42,INDEX(Calc!$J$99:$J$109,MATCH(Display!B701,Calc!$K$99:$K$109,0),1),#N/A)</f>
        <v>#N/A</v>
      </c>
    </row>
    <row r="702" spans="2:6" x14ac:dyDescent="0.2">
      <c r="B702" s="6">
        <f t="shared" si="14"/>
        <v>699</v>
      </c>
      <c r="C702" s="81" t="e">
        <f ca="1">VLOOKUP(B702,Calc!$K$66:$L$76,2,FALSE)</f>
        <v>#N/A</v>
      </c>
      <c r="D702" s="81" t="e">
        <f ca="1">VLOOKUP(B702,Calc!$K$77:$L$87,2,FALSE)</f>
        <v>#N/A</v>
      </c>
      <c r="E702" s="523" t="e">
        <f ca="1">VLOOKUP(B702,Calc!$K$88:$L$98,2,FALSE)</f>
        <v>#N/A</v>
      </c>
      <c r="F702" s="523" t="e">
        <f ca="1">IF(Errorhandling!$C$42,INDEX(Calc!$J$99:$J$109,MATCH(Display!B702,Calc!$K$99:$K$109,0),1),#N/A)</f>
        <v>#N/A</v>
      </c>
    </row>
    <row r="703" spans="2:6" x14ac:dyDescent="0.2">
      <c r="B703" s="6">
        <f t="shared" si="14"/>
        <v>700</v>
      </c>
      <c r="C703" s="81" t="e">
        <f ca="1">VLOOKUP(B703,Calc!$K$66:$L$76,2,FALSE)</f>
        <v>#N/A</v>
      </c>
      <c r="D703" s="81" t="e">
        <f ca="1">VLOOKUP(B703,Calc!$K$77:$L$87,2,FALSE)</f>
        <v>#N/A</v>
      </c>
      <c r="E703" s="523" t="e">
        <f ca="1">VLOOKUP(B703,Calc!$K$88:$L$98,2,FALSE)</f>
        <v>#N/A</v>
      </c>
      <c r="F703" s="523" t="e">
        <f ca="1">IF(Errorhandling!$C$42,INDEX(Calc!$J$99:$J$109,MATCH(Display!B703,Calc!$K$99:$K$109,0),1),#N/A)</f>
        <v>#N/A</v>
      </c>
    </row>
    <row r="704" spans="2:6" x14ac:dyDescent="0.2">
      <c r="B704" s="6">
        <f t="shared" si="14"/>
        <v>701</v>
      </c>
      <c r="C704" s="81" t="e">
        <f ca="1">VLOOKUP(B704,Calc!$K$66:$L$76,2,FALSE)</f>
        <v>#N/A</v>
      </c>
      <c r="D704" s="81" t="e">
        <f ca="1">VLOOKUP(B704,Calc!$K$77:$L$87,2,FALSE)</f>
        <v>#N/A</v>
      </c>
      <c r="E704" s="523" t="e">
        <f ca="1">VLOOKUP(B704,Calc!$K$88:$L$98,2,FALSE)</f>
        <v>#N/A</v>
      </c>
      <c r="F704" s="523" t="e">
        <f ca="1">IF(Errorhandling!$C$42,INDEX(Calc!$J$99:$J$109,MATCH(Display!B704,Calc!$K$99:$K$109,0),1),#N/A)</f>
        <v>#N/A</v>
      </c>
    </row>
    <row r="705" spans="2:6" x14ac:dyDescent="0.2">
      <c r="B705" s="6">
        <f t="shared" si="14"/>
        <v>702</v>
      </c>
      <c r="C705" s="81" t="e">
        <f ca="1">VLOOKUP(B705,Calc!$K$66:$L$76,2,FALSE)</f>
        <v>#N/A</v>
      </c>
      <c r="D705" s="81" t="e">
        <f ca="1">VLOOKUP(B705,Calc!$K$77:$L$87,2,FALSE)</f>
        <v>#N/A</v>
      </c>
      <c r="E705" s="523" t="e">
        <f ca="1">VLOOKUP(B705,Calc!$K$88:$L$98,2,FALSE)</f>
        <v>#N/A</v>
      </c>
      <c r="F705" s="523" t="e">
        <f ca="1">IF(Errorhandling!$C$42,INDEX(Calc!$J$99:$J$109,MATCH(Display!B705,Calc!$K$99:$K$109,0),1),#N/A)</f>
        <v>#N/A</v>
      </c>
    </row>
    <row r="706" spans="2:6" x14ac:dyDescent="0.2">
      <c r="B706" s="6">
        <f t="shared" si="14"/>
        <v>703</v>
      </c>
      <c r="C706" s="81" t="e">
        <f ca="1">VLOOKUP(B706,Calc!$K$66:$L$76,2,FALSE)</f>
        <v>#N/A</v>
      </c>
      <c r="D706" s="81" t="e">
        <f ca="1">VLOOKUP(B706,Calc!$K$77:$L$87,2,FALSE)</f>
        <v>#N/A</v>
      </c>
      <c r="E706" s="523" t="e">
        <f ca="1">VLOOKUP(B706,Calc!$K$88:$L$98,2,FALSE)</f>
        <v>#N/A</v>
      </c>
      <c r="F706" s="523" t="e">
        <f ca="1">IF(Errorhandling!$C$42,INDEX(Calc!$J$99:$J$109,MATCH(Display!B706,Calc!$K$99:$K$109,0),1),#N/A)</f>
        <v>#N/A</v>
      </c>
    </row>
    <row r="707" spans="2:6" x14ac:dyDescent="0.2">
      <c r="B707" s="6">
        <f t="shared" si="14"/>
        <v>704</v>
      </c>
      <c r="C707" s="81" t="e">
        <f ca="1">VLOOKUP(B707,Calc!$K$66:$L$76,2,FALSE)</f>
        <v>#N/A</v>
      </c>
      <c r="D707" s="81" t="e">
        <f ca="1">VLOOKUP(B707,Calc!$K$77:$L$87,2,FALSE)</f>
        <v>#N/A</v>
      </c>
      <c r="E707" s="523" t="e">
        <f ca="1">VLOOKUP(B707,Calc!$K$88:$L$98,2,FALSE)</f>
        <v>#N/A</v>
      </c>
      <c r="F707" s="523" t="e">
        <f ca="1">IF(Errorhandling!$C$42,INDEX(Calc!$J$99:$J$109,MATCH(Display!B707,Calc!$K$99:$K$109,0),1),#N/A)</f>
        <v>#N/A</v>
      </c>
    </row>
    <row r="708" spans="2:6" x14ac:dyDescent="0.2">
      <c r="B708" s="6">
        <f t="shared" si="14"/>
        <v>705</v>
      </c>
      <c r="C708" s="81" t="e">
        <f ca="1">VLOOKUP(B708,Calc!$K$66:$L$76,2,FALSE)</f>
        <v>#N/A</v>
      </c>
      <c r="D708" s="81" t="e">
        <f ca="1">VLOOKUP(B708,Calc!$K$77:$L$87,2,FALSE)</f>
        <v>#N/A</v>
      </c>
      <c r="E708" s="523" t="e">
        <f ca="1">VLOOKUP(B708,Calc!$K$88:$L$98,2,FALSE)</f>
        <v>#N/A</v>
      </c>
      <c r="F708" s="523" t="e">
        <f ca="1">IF(Errorhandling!$C$42,INDEX(Calc!$J$99:$J$109,MATCH(Display!B708,Calc!$K$99:$K$109,0),1),#N/A)</f>
        <v>#N/A</v>
      </c>
    </row>
    <row r="709" spans="2:6" x14ac:dyDescent="0.2">
      <c r="B709" s="6">
        <f t="shared" si="14"/>
        <v>706</v>
      </c>
      <c r="C709" s="81" t="e">
        <f ca="1">VLOOKUP(B709,Calc!$K$66:$L$76,2,FALSE)</f>
        <v>#N/A</v>
      </c>
      <c r="D709" s="81" t="e">
        <f ca="1">VLOOKUP(B709,Calc!$K$77:$L$87,2,FALSE)</f>
        <v>#N/A</v>
      </c>
      <c r="E709" s="523" t="e">
        <f ca="1">VLOOKUP(B709,Calc!$K$88:$L$98,2,FALSE)</f>
        <v>#N/A</v>
      </c>
      <c r="F709" s="523" t="e">
        <f ca="1">IF(Errorhandling!$C$42,INDEX(Calc!$J$99:$J$109,MATCH(Display!B709,Calc!$K$99:$K$109,0),1),#N/A)</f>
        <v>#N/A</v>
      </c>
    </row>
    <row r="710" spans="2:6" x14ac:dyDescent="0.2">
      <c r="B710" s="6">
        <f t="shared" si="14"/>
        <v>707</v>
      </c>
      <c r="C710" s="81" t="e">
        <f ca="1">VLOOKUP(B710,Calc!$K$66:$L$76,2,FALSE)</f>
        <v>#N/A</v>
      </c>
      <c r="D710" s="81" t="e">
        <f ca="1">VLOOKUP(B710,Calc!$K$77:$L$87,2,FALSE)</f>
        <v>#N/A</v>
      </c>
      <c r="E710" s="523" t="e">
        <f ca="1">VLOOKUP(B710,Calc!$K$88:$L$98,2,FALSE)</f>
        <v>#N/A</v>
      </c>
      <c r="F710" s="523" t="e">
        <f ca="1">IF(Errorhandling!$C$42,INDEX(Calc!$J$99:$J$109,MATCH(Display!B710,Calc!$K$99:$K$109,0),1),#N/A)</f>
        <v>#N/A</v>
      </c>
    </row>
    <row r="711" spans="2:6" x14ac:dyDescent="0.2">
      <c r="B711" s="6">
        <f t="shared" ref="B711:B774" si="15">1+B710</f>
        <v>708</v>
      </c>
      <c r="C711" s="81" t="e">
        <f ca="1">VLOOKUP(B711,Calc!$K$66:$L$76,2,FALSE)</f>
        <v>#N/A</v>
      </c>
      <c r="D711" s="81" t="e">
        <f ca="1">VLOOKUP(B711,Calc!$K$77:$L$87,2,FALSE)</f>
        <v>#N/A</v>
      </c>
      <c r="E711" s="523" t="e">
        <f ca="1">VLOOKUP(B711,Calc!$K$88:$L$98,2,FALSE)</f>
        <v>#N/A</v>
      </c>
      <c r="F711" s="523" t="e">
        <f ca="1">IF(Errorhandling!$C$42,INDEX(Calc!$J$99:$J$109,MATCH(Display!B711,Calc!$K$99:$K$109,0),1),#N/A)</f>
        <v>#N/A</v>
      </c>
    </row>
    <row r="712" spans="2:6" x14ac:dyDescent="0.2">
      <c r="B712" s="6">
        <f t="shared" si="15"/>
        <v>709</v>
      </c>
      <c r="C712" s="81" t="e">
        <f ca="1">VLOOKUP(B712,Calc!$K$66:$L$76,2,FALSE)</f>
        <v>#N/A</v>
      </c>
      <c r="D712" s="81" t="e">
        <f ca="1">VLOOKUP(B712,Calc!$K$77:$L$87,2,FALSE)</f>
        <v>#N/A</v>
      </c>
      <c r="E712" s="523" t="e">
        <f ca="1">VLOOKUP(B712,Calc!$K$88:$L$98,2,FALSE)</f>
        <v>#N/A</v>
      </c>
      <c r="F712" s="523" t="e">
        <f ca="1">IF(Errorhandling!$C$42,INDEX(Calc!$J$99:$J$109,MATCH(Display!B712,Calc!$K$99:$K$109,0),1),#N/A)</f>
        <v>#N/A</v>
      </c>
    </row>
    <row r="713" spans="2:6" x14ac:dyDescent="0.2">
      <c r="B713" s="6">
        <f t="shared" si="15"/>
        <v>710</v>
      </c>
      <c r="C713" s="81" t="e">
        <f ca="1">VLOOKUP(B713,Calc!$K$66:$L$76,2,FALSE)</f>
        <v>#N/A</v>
      </c>
      <c r="D713" s="81" t="e">
        <f ca="1">VLOOKUP(B713,Calc!$K$77:$L$87,2,FALSE)</f>
        <v>#N/A</v>
      </c>
      <c r="E713" s="523" t="e">
        <f ca="1">VLOOKUP(B713,Calc!$K$88:$L$98,2,FALSE)</f>
        <v>#N/A</v>
      </c>
      <c r="F713" s="523" t="e">
        <f ca="1">IF(Errorhandling!$C$42,INDEX(Calc!$J$99:$J$109,MATCH(Display!B713,Calc!$K$99:$K$109,0),1),#N/A)</f>
        <v>#N/A</v>
      </c>
    </row>
    <row r="714" spans="2:6" x14ac:dyDescent="0.2">
      <c r="B714" s="6">
        <f t="shared" si="15"/>
        <v>711</v>
      </c>
      <c r="C714" s="81" t="e">
        <f ca="1">VLOOKUP(B714,Calc!$K$66:$L$76,2,FALSE)</f>
        <v>#N/A</v>
      </c>
      <c r="D714" s="81" t="e">
        <f ca="1">VLOOKUP(B714,Calc!$K$77:$L$87,2,FALSE)</f>
        <v>#N/A</v>
      </c>
      <c r="E714" s="523" t="e">
        <f ca="1">VLOOKUP(B714,Calc!$K$88:$L$98,2,FALSE)</f>
        <v>#N/A</v>
      </c>
      <c r="F714" s="523" t="e">
        <f ca="1">IF(Errorhandling!$C$42,INDEX(Calc!$J$99:$J$109,MATCH(Display!B714,Calc!$K$99:$K$109,0),1),#N/A)</f>
        <v>#N/A</v>
      </c>
    </row>
    <row r="715" spans="2:6" x14ac:dyDescent="0.2">
      <c r="B715" s="6">
        <f t="shared" si="15"/>
        <v>712</v>
      </c>
      <c r="C715" s="81" t="e">
        <f ca="1">VLOOKUP(B715,Calc!$K$66:$L$76,2,FALSE)</f>
        <v>#N/A</v>
      </c>
      <c r="D715" s="81" t="e">
        <f ca="1">VLOOKUP(B715,Calc!$K$77:$L$87,2,FALSE)</f>
        <v>#N/A</v>
      </c>
      <c r="E715" s="523" t="e">
        <f ca="1">VLOOKUP(B715,Calc!$K$88:$L$98,2,FALSE)</f>
        <v>#N/A</v>
      </c>
      <c r="F715" s="523" t="e">
        <f ca="1">IF(Errorhandling!$C$42,INDEX(Calc!$J$99:$J$109,MATCH(Display!B715,Calc!$K$99:$K$109,0),1),#N/A)</f>
        <v>#N/A</v>
      </c>
    </row>
    <row r="716" spans="2:6" x14ac:dyDescent="0.2">
      <c r="B716" s="6">
        <f t="shared" si="15"/>
        <v>713</v>
      </c>
      <c r="C716" s="81" t="e">
        <f ca="1">VLOOKUP(B716,Calc!$K$66:$L$76,2,FALSE)</f>
        <v>#N/A</v>
      </c>
      <c r="D716" s="81" t="e">
        <f ca="1">VLOOKUP(B716,Calc!$K$77:$L$87,2,FALSE)</f>
        <v>#N/A</v>
      </c>
      <c r="E716" s="523" t="e">
        <f ca="1">VLOOKUP(B716,Calc!$K$88:$L$98,2,FALSE)</f>
        <v>#N/A</v>
      </c>
      <c r="F716" s="523" t="e">
        <f ca="1">IF(Errorhandling!$C$42,INDEX(Calc!$J$99:$J$109,MATCH(Display!B716,Calc!$K$99:$K$109,0),1),#N/A)</f>
        <v>#N/A</v>
      </c>
    </row>
    <row r="717" spans="2:6" x14ac:dyDescent="0.2">
      <c r="B717" s="6">
        <f t="shared" si="15"/>
        <v>714</v>
      </c>
      <c r="C717" s="81" t="e">
        <f ca="1">VLOOKUP(B717,Calc!$K$66:$L$76,2,FALSE)</f>
        <v>#N/A</v>
      </c>
      <c r="D717" s="81" t="e">
        <f ca="1">VLOOKUP(B717,Calc!$K$77:$L$87,2,FALSE)</f>
        <v>#N/A</v>
      </c>
      <c r="E717" s="523" t="e">
        <f ca="1">VLOOKUP(B717,Calc!$K$88:$L$98,2,FALSE)</f>
        <v>#N/A</v>
      </c>
      <c r="F717" s="523" t="e">
        <f ca="1">IF(Errorhandling!$C$42,INDEX(Calc!$J$99:$J$109,MATCH(Display!B717,Calc!$K$99:$K$109,0),1),#N/A)</f>
        <v>#N/A</v>
      </c>
    </row>
    <row r="718" spans="2:6" x14ac:dyDescent="0.2">
      <c r="B718" s="6">
        <f t="shared" si="15"/>
        <v>715</v>
      </c>
      <c r="C718" s="81" t="e">
        <f ca="1">VLOOKUP(B718,Calc!$K$66:$L$76,2,FALSE)</f>
        <v>#N/A</v>
      </c>
      <c r="D718" s="81" t="e">
        <f ca="1">VLOOKUP(B718,Calc!$K$77:$L$87,2,FALSE)</f>
        <v>#N/A</v>
      </c>
      <c r="E718" s="523" t="e">
        <f ca="1">VLOOKUP(B718,Calc!$K$88:$L$98,2,FALSE)</f>
        <v>#N/A</v>
      </c>
      <c r="F718" s="523" t="e">
        <f ca="1">IF(Errorhandling!$C$42,INDEX(Calc!$J$99:$J$109,MATCH(Display!B718,Calc!$K$99:$K$109,0),1),#N/A)</f>
        <v>#N/A</v>
      </c>
    </row>
    <row r="719" spans="2:6" x14ac:dyDescent="0.2">
      <c r="B719" s="6">
        <f t="shared" si="15"/>
        <v>716</v>
      </c>
      <c r="C719" s="81" t="e">
        <f ca="1">VLOOKUP(B719,Calc!$K$66:$L$76,2,FALSE)</f>
        <v>#N/A</v>
      </c>
      <c r="D719" s="81" t="e">
        <f ca="1">VLOOKUP(B719,Calc!$K$77:$L$87,2,FALSE)</f>
        <v>#N/A</v>
      </c>
      <c r="E719" s="523" t="e">
        <f ca="1">VLOOKUP(B719,Calc!$K$88:$L$98,2,FALSE)</f>
        <v>#N/A</v>
      </c>
      <c r="F719" s="523" t="e">
        <f ca="1">IF(Errorhandling!$C$42,INDEX(Calc!$J$99:$J$109,MATCH(Display!B719,Calc!$K$99:$K$109,0),1),#N/A)</f>
        <v>#N/A</v>
      </c>
    </row>
    <row r="720" spans="2:6" x14ac:dyDescent="0.2">
      <c r="B720" s="6">
        <f t="shared" si="15"/>
        <v>717</v>
      </c>
      <c r="C720" s="81" t="e">
        <f ca="1">VLOOKUP(B720,Calc!$K$66:$L$76,2,FALSE)</f>
        <v>#N/A</v>
      </c>
      <c r="D720" s="81" t="e">
        <f ca="1">VLOOKUP(B720,Calc!$K$77:$L$87,2,FALSE)</f>
        <v>#N/A</v>
      </c>
      <c r="E720" s="523" t="e">
        <f ca="1">VLOOKUP(B720,Calc!$K$88:$L$98,2,FALSE)</f>
        <v>#N/A</v>
      </c>
      <c r="F720" s="523" t="e">
        <f ca="1">IF(Errorhandling!$C$42,INDEX(Calc!$J$99:$J$109,MATCH(Display!B720,Calc!$K$99:$K$109,0),1),#N/A)</f>
        <v>#N/A</v>
      </c>
    </row>
    <row r="721" spans="2:6" x14ac:dyDescent="0.2">
      <c r="B721" s="6">
        <f t="shared" si="15"/>
        <v>718</v>
      </c>
      <c r="C721" s="81" t="e">
        <f ca="1">VLOOKUP(B721,Calc!$K$66:$L$76,2,FALSE)</f>
        <v>#N/A</v>
      </c>
      <c r="D721" s="81" t="e">
        <f ca="1">VLOOKUP(B721,Calc!$K$77:$L$87,2,FALSE)</f>
        <v>#N/A</v>
      </c>
      <c r="E721" s="523" t="e">
        <f ca="1">VLOOKUP(B721,Calc!$K$88:$L$98,2,FALSE)</f>
        <v>#N/A</v>
      </c>
      <c r="F721" s="523" t="e">
        <f ca="1">IF(Errorhandling!$C$42,INDEX(Calc!$J$99:$J$109,MATCH(Display!B721,Calc!$K$99:$K$109,0),1),#N/A)</f>
        <v>#N/A</v>
      </c>
    </row>
    <row r="722" spans="2:6" x14ac:dyDescent="0.2">
      <c r="B722" s="6">
        <f t="shared" si="15"/>
        <v>719</v>
      </c>
      <c r="C722" s="81" t="e">
        <f ca="1">VLOOKUP(B722,Calc!$K$66:$L$76,2,FALSE)</f>
        <v>#N/A</v>
      </c>
      <c r="D722" s="81" t="e">
        <f ca="1">VLOOKUP(B722,Calc!$K$77:$L$87,2,FALSE)</f>
        <v>#N/A</v>
      </c>
      <c r="E722" s="523" t="e">
        <f ca="1">VLOOKUP(B722,Calc!$K$88:$L$98,2,FALSE)</f>
        <v>#N/A</v>
      </c>
      <c r="F722" s="523" t="e">
        <f ca="1">IF(Errorhandling!$C$42,INDEX(Calc!$J$99:$J$109,MATCH(Display!B722,Calc!$K$99:$K$109,0),1),#N/A)</f>
        <v>#N/A</v>
      </c>
    </row>
    <row r="723" spans="2:6" x14ac:dyDescent="0.2">
      <c r="B723" s="6">
        <f t="shared" si="15"/>
        <v>720</v>
      </c>
      <c r="C723" s="81" t="e">
        <f ca="1">VLOOKUP(B723,Calc!$K$66:$L$76,2,FALSE)</f>
        <v>#N/A</v>
      </c>
      <c r="D723" s="81" t="e">
        <f ca="1">VLOOKUP(B723,Calc!$K$77:$L$87,2,FALSE)</f>
        <v>#N/A</v>
      </c>
      <c r="E723" s="523" t="e">
        <f ca="1">VLOOKUP(B723,Calc!$K$88:$L$98,2,FALSE)</f>
        <v>#N/A</v>
      </c>
      <c r="F723" s="523" t="e">
        <f ca="1">IF(Errorhandling!$C$42,INDEX(Calc!$J$99:$J$109,MATCH(Display!B723,Calc!$K$99:$K$109,0),1),#N/A)</f>
        <v>#N/A</v>
      </c>
    </row>
    <row r="724" spans="2:6" x14ac:dyDescent="0.2">
      <c r="B724" s="6">
        <f t="shared" si="15"/>
        <v>721</v>
      </c>
      <c r="C724" s="81" t="e">
        <f ca="1">VLOOKUP(B724,Calc!$K$66:$L$76,2,FALSE)</f>
        <v>#N/A</v>
      </c>
      <c r="D724" s="81" t="e">
        <f ca="1">VLOOKUP(B724,Calc!$K$77:$L$87,2,FALSE)</f>
        <v>#N/A</v>
      </c>
      <c r="E724" s="523" t="e">
        <f ca="1">VLOOKUP(B724,Calc!$K$88:$L$98,2,FALSE)</f>
        <v>#N/A</v>
      </c>
      <c r="F724" s="523" t="e">
        <f ca="1">IF(Errorhandling!$C$42,INDEX(Calc!$J$99:$J$109,MATCH(Display!B724,Calc!$K$99:$K$109,0),1),#N/A)</f>
        <v>#N/A</v>
      </c>
    </row>
    <row r="725" spans="2:6" x14ac:dyDescent="0.2">
      <c r="B725" s="6">
        <f t="shared" si="15"/>
        <v>722</v>
      </c>
      <c r="C725" s="81" t="e">
        <f ca="1">VLOOKUP(B725,Calc!$K$66:$L$76,2,FALSE)</f>
        <v>#N/A</v>
      </c>
      <c r="D725" s="81" t="e">
        <f ca="1">VLOOKUP(B725,Calc!$K$77:$L$87,2,FALSE)</f>
        <v>#N/A</v>
      </c>
      <c r="E725" s="523" t="e">
        <f ca="1">VLOOKUP(B725,Calc!$K$88:$L$98,2,FALSE)</f>
        <v>#N/A</v>
      </c>
      <c r="F725" s="523" t="e">
        <f ca="1">IF(Errorhandling!$C$42,INDEX(Calc!$J$99:$J$109,MATCH(Display!B725,Calc!$K$99:$K$109,0),1),#N/A)</f>
        <v>#N/A</v>
      </c>
    </row>
    <row r="726" spans="2:6" x14ac:dyDescent="0.2">
      <c r="B726" s="6">
        <f t="shared" si="15"/>
        <v>723</v>
      </c>
      <c r="C726" s="81" t="e">
        <f ca="1">VLOOKUP(B726,Calc!$K$66:$L$76,2,FALSE)</f>
        <v>#N/A</v>
      </c>
      <c r="D726" s="81" t="e">
        <f ca="1">VLOOKUP(B726,Calc!$K$77:$L$87,2,FALSE)</f>
        <v>#N/A</v>
      </c>
      <c r="E726" s="523" t="e">
        <f ca="1">VLOOKUP(B726,Calc!$K$88:$L$98,2,FALSE)</f>
        <v>#N/A</v>
      </c>
      <c r="F726" s="523" t="e">
        <f ca="1">IF(Errorhandling!$C$42,INDEX(Calc!$J$99:$J$109,MATCH(Display!B726,Calc!$K$99:$K$109,0),1),#N/A)</f>
        <v>#N/A</v>
      </c>
    </row>
    <row r="727" spans="2:6" x14ac:dyDescent="0.2">
      <c r="B727" s="6">
        <f t="shared" si="15"/>
        <v>724</v>
      </c>
      <c r="C727" s="81" t="e">
        <f ca="1">VLOOKUP(B727,Calc!$K$66:$L$76,2,FALSE)</f>
        <v>#N/A</v>
      </c>
      <c r="D727" s="81" t="e">
        <f ca="1">VLOOKUP(B727,Calc!$K$77:$L$87,2,FALSE)</f>
        <v>#N/A</v>
      </c>
      <c r="E727" s="523" t="e">
        <f ca="1">VLOOKUP(B727,Calc!$K$88:$L$98,2,FALSE)</f>
        <v>#N/A</v>
      </c>
      <c r="F727" s="523" t="e">
        <f ca="1">IF(Errorhandling!$C$42,INDEX(Calc!$J$99:$J$109,MATCH(Display!B727,Calc!$K$99:$K$109,0),1),#N/A)</f>
        <v>#N/A</v>
      </c>
    </row>
    <row r="728" spans="2:6" x14ac:dyDescent="0.2">
      <c r="B728" s="6">
        <f t="shared" si="15"/>
        <v>725</v>
      </c>
      <c r="C728" s="81" t="e">
        <f ca="1">VLOOKUP(B728,Calc!$K$66:$L$76,2,FALSE)</f>
        <v>#N/A</v>
      </c>
      <c r="D728" s="81" t="e">
        <f ca="1">VLOOKUP(B728,Calc!$K$77:$L$87,2,FALSE)</f>
        <v>#N/A</v>
      </c>
      <c r="E728" s="523" t="e">
        <f ca="1">VLOOKUP(B728,Calc!$K$88:$L$98,2,FALSE)</f>
        <v>#N/A</v>
      </c>
      <c r="F728" s="523" t="e">
        <f ca="1">IF(Errorhandling!$C$42,INDEX(Calc!$J$99:$J$109,MATCH(Display!B728,Calc!$K$99:$K$109,0),1),#N/A)</f>
        <v>#N/A</v>
      </c>
    </row>
    <row r="729" spans="2:6" x14ac:dyDescent="0.2">
      <c r="B729" s="6">
        <f t="shared" si="15"/>
        <v>726</v>
      </c>
      <c r="C729" s="81" t="e">
        <f ca="1">VLOOKUP(B729,Calc!$K$66:$L$76,2,FALSE)</f>
        <v>#N/A</v>
      </c>
      <c r="D729" s="81" t="e">
        <f ca="1">VLOOKUP(B729,Calc!$K$77:$L$87,2,FALSE)</f>
        <v>#N/A</v>
      </c>
      <c r="E729" s="523" t="e">
        <f ca="1">VLOOKUP(B729,Calc!$K$88:$L$98,2,FALSE)</f>
        <v>#N/A</v>
      </c>
      <c r="F729" s="523" t="e">
        <f ca="1">IF(Errorhandling!$C$42,INDEX(Calc!$J$99:$J$109,MATCH(Display!B729,Calc!$K$99:$K$109,0),1),#N/A)</f>
        <v>#N/A</v>
      </c>
    </row>
    <row r="730" spans="2:6" x14ac:dyDescent="0.2">
      <c r="B730" s="6">
        <f t="shared" si="15"/>
        <v>727</v>
      </c>
      <c r="C730" s="81" t="e">
        <f ca="1">VLOOKUP(B730,Calc!$K$66:$L$76,2,FALSE)</f>
        <v>#N/A</v>
      </c>
      <c r="D730" s="81" t="e">
        <f ca="1">VLOOKUP(B730,Calc!$K$77:$L$87,2,FALSE)</f>
        <v>#N/A</v>
      </c>
      <c r="E730" s="523" t="e">
        <f ca="1">VLOOKUP(B730,Calc!$K$88:$L$98,2,FALSE)</f>
        <v>#N/A</v>
      </c>
      <c r="F730" s="523" t="e">
        <f ca="1">IF(Errorhandling!$C$42,INDEX(Calc!$J$99:$J$109,MATCH(Display!B730,Calc!$K$99:$K$109,0),1),#N/A)</f>
        <v>#N/A</v>
      </c>
    </row>
    <row r="731" spans="2:6" x14ac:dyDescent="0.2">
      <c r="B731" s="6">
        <f t="shared" si="15"/>
        <v>728</v>
      </c>
      <c r="C731" s="81" t="e">
        <f ca="1">VLOOKUP(B731,Calc!$K$66:$L$76,2,FALSE)</f>
        <v>#N/A</v>
      </c>
      <c r="D731" s="81" t="e">
        <f ca="1">VLOOKUP(B731,Calc!$K$77:$L$87,2,FALSE)</f>
        <v>#N/A</v>
      </c>
      <c r="E731" s="523" t="e">
        <f ca="1">VLOOKUP(B731,Calc!$K$88:$L$98,2,FALSE)</f>
        <v>#N/A</v>
      </c>
      <c r="F731" s="523" t="e">
        <f ca="1">IF(Errorhandling!$C$42,INDEX(Calc!$J$99:$J$109,MATCH(Display!B731,Calc!$K$99:$K$109,0),1),#N/A)</f>
        <v>#N/A</v>
      </c>
    </row>
    <row r="732" spans="2:6" x14ac:dyDescent="0.2">
      <c r="B732" s="6">
        <f t="shared" si="15"/>
        <v>729</v>
      </c>
      <c r="C732" s="81" t="e">
        <f ca="1">VLOOKUP(B732,Calc!$K$66:$L$76,2,FALSE)</f>
        <v>#N/A</v>
      </c>
      <c r="D732" s="81" t="e">
        <f ca="1">VLOOKUP(B732,Calc!$K$77:$L$87,2,FALSE)</f>
        <v>#N/A</v>
      </c>
      <c r="E732" s="523" t="e">
        <f ca="1">VLOOKUP(B732,Calc!$K$88:$L$98,2,FALSE)</f>
        <v>#N/A</v>
      </c>
      <c r="F732" s="523" t="e">
        <f ca="1">IF(Errorhandling!$C$42,INDEX(Calc!$J$99:$J$109,MATCH(Display!B732,Calc!$K$99:$K$109,0),1),#N/A)</f>
        <v>#N/A</v>
      </c>
    </row>
    <row r="733" spans="2:6" x14ac:dyDescent="0.2">
      <c r="B733" s="6">
        <f t="shared" si="15"/>
        <v>730</v>
      </c>
      <c r="C733" s="81" t="e">
        <f ca="1">VLOOKUP(B733,Calc!$K$66:$L$76,2,FALSE)</f>
        <v>#N/A</v>
      </c>
      <c r="D733" s="81" t="e">
        <f ca="1">VLOOKUP(B733,Calc!$K$77:$L$87,2,FALSE)</f>
        <v>#N/A</v>
      </c>
      <c r="E733" s="523" t="e">
        <f ca="1">VLOOKUP(B733,Calc!$K$88:$L$98,2,FALSE)</f>
        <v>#N/A</v>
      </c>
      <c r="F733" s="523" t="e">
        <f ca="1">IF(Errorhandling!$C$42,INDEX(Calc!$J$99:$J$109,MATCH(Display!B733,Calc!$K$99:$K$109,0),1),#N/A)</f>
        <v>#N/A</v>
      </c>
    </row>
    <row r="734" spans="2:6" x14ac:dyDescent="0.2">
      <c r="B734" s="6">
        <f t="shared" si="15"/>
        <v>731</v>
      </c>
      <c r="C734" s="81" t="e">
        <f ca="1">VLOOKUP(B734,Calc!$K$66:$L$76,2,FALSE)</f>
        <v>#N/A</v>
      </c>
      <c r="D734" s="81" t="e">
        <f ca="1">VLOOKUP(B734,Calc!$K$77:$L$87,2,FALSE)</f>
        <v>#N/A</v>
      </c>
      <c r="E734" s="523" t="e">
        <f ca="1">VLOOKUP(B734,Calc!$K$88:$L$98,2,FALSE)</f>
        <v>#N/A</v>
      </c>
      <c r="F734" s="523" t="e">
        <f ca="1">IF(Errorhandling!$C$42,INDEX(Calc!$J$99:$J$109,MATCH(Display!B734,Calc!$K$99:$K$109,0),1),#N/A)</f>
        <v>#N/A</v>
      </c>
    </row>
    <row r="735" spans="2:6" x14ac:dyDescent="0.2">
      <c r="B735" s="6">
        <f t="shared" si="15"/>
        <v>732</v>
      </c>
      <c r="C735" s="81" t="e">
        <f ca="1">VLOOKUP(B735,Calc!$K$66:$L$76,2,FALSE)</f>
        <v>#N/A</v>
      </c>
      <c r="D735" s="81" t="e">
        <f ca="1">VLOOKUP(B735,Calc!$K$77:$L$87,2,FALSE)</f>
        <v>#N/A</v>
      </c>
      <c r="E735" s="523" t="e">
        <f ca="1">VLOOKUP(B735,Calc!$K$88:$L$98,2,FALSE)</f>
        <v>#N/A</v>
      </c>
      <c r="F735" s="523" t="e">
        <f ca="1">IF(Errorhandling!$C$42,INDEX(Calc!$J$99:$J$109,MATCH(Display!B735,Calc!$K$99:$K$109,0),1),#N/A)</f>
        <v>#N/A</v>
      </c>
    </row>
    <row r="736" spans="2:6" x14ac:dyDescent="0.2">
      <c r="B736" s="6">
        <f t="shared" si="15"/>
        <v>733</v>
      </c>
      <c r="C736" s="81" t="e">
        <f ca="1">VLOOKUP(B736,Calc!$K$66:$L$76,2,FALSE)</f>
        <v>#N/A</v>
      </c>
      <c r="D736" s="81" t="e">
        <f ca="1">VLOOKUP(B736,Calc!$K$77:$L$87,2,FALSE)</f>
        <v>#N/A</v>
      </c>
      <c r="E736" s="523" t="e">
        <f ca="1">VLOOKUP(B736,Calc!$K$88:$L$98,2,FALSE)</f>
        <v>#N/A</v>
      </c>
      <c r="F736" s="523" t="e">
        <f ca="1">IF(Errorhandling!$C$42,INDEX(Calc!$J$99:$J$109,MATCH(Display!B736,Calc!$K$99:$K$109,0),1),#N/A)</f>
        <v>#N/A</v>
      </c>
    </row>
    <row r="737" spans="2:6" x14ac:dyDescent="0.2">
      <c r="B737" s="6">
        <f t="shared" si="15"/>
        <v>734</v>
      </c>
      <c r="C737" s="81" t="e">
        <f ca="1">VLOOKUP(B737,Calc!$K$66:$L$76,2,FALSE)</f>
        <v>#N/A</v>
      </c>
      <c r="D737" s="81" t="e">
        <f ca="1">VLOOKUP(B737,Calc!$K$77:$L$87,2,FALSE)</f>
        <v>#N/A</v>
      </c>
      <c r="E737" s="523" t="e">
        <f ca="1">VLOOKUP(B737,Calc!$K$88:$L$98,2,FALSE)</f>
        <v>#N/A</v>
      </c>
      <c r="F737" s="523" t="e">
        <f ca="1">IF(Errorhandling!$C$42,INDEX(Calc!$J$99:$J$109,MATCH(Display!B737,Calc!$K$99:$K$109,0),1),#N/A)</f>
        <v>#N/A</v>
      </c>
    </row>
    <row r="738" spans="2:6" x14ac:dyDescent="0.2">
      <c r="B738" s="6">
        <f t="shared" si="15"/>
        <v>735</v>
      </c>
      <c r="C738" s="81" t="e">
        <f ca="1">VLOOKUP(B738,Calc!$K$66:$L$76,2,FALSE)</f>
        <v>#N/A</v>
      </c>
      <c r="D738" s="81" t="e">
        <f ca="1">VLOOKUP(B738,Calc!$K$77:$L$87,2,FALSE)</f>
        <v>#N/A</v>
      </c>
      <c r="E738" s="523" t="e">
        <f ca="1">VLOOKUP(B738,Calc!$K$88:$L$98,2,FALSE)</f>
        <v>#N/A</v>
      </c>
      <c r="F738" s="523" t="e">
        <f ca="1">IF(Errorhandling!$C$42,INDEX(Calc!$J$99:$J$109,MATCH(Display!B738,Calc!$K$99:$K$109,0),1),#N/A)</f>
        <v>#N/A</v>
      </c>
    </row>
    <row r="739" spans="2:6" x14ac:dyDescent="0.2">
      <c r="B739" s="6">
        <f t="shared" si="15"/>
        <v>736</v>
      </c>
      <c r="C739" s="81" t="e">
        <f ca="1">VLOOKUP(B739,Calc!$K$66:$L$76,2,FALSE)</f>
        <v>#N/A</v>
      </c>
      <c r="D739" s="81" t="e">
        <f ca="1">VLOOKUP(B739,Calc!$K$77:$L$87,2,FALSE)</f>
        <v>#N/A</v>
      </c>
      <c r="E739" s="523" t="e">
        <f ca="1">VLOOKUP(B739,Calc!$K$88:$L$98,2,FALSE)</f>
        <v>#N/A</v>
      </c>
      <c r="F739" s="523" t="e">
        <f ca="1">IF(Errorhandling!$C$42,INDEX(Calc!$J$99:$J$109,MATCH(Display!B739,Calc!$K$99:$K$109,0),1),#N/A)</f>
        <v>#N/A</v>
      </c>
    </row>
    <row r="740" spans="2:6" x14ac:dyDescent="0.2">
      <c r="B740" s="6">
        <f t="shared" si="15"/>
        <v>737</v>
      </c>
      <c r="C740" s="81" t="e">
        <f ca="1">VLOOKUP(B740,Calc!$K$66:$L$76,2,FALSE)</f>
        <v>#N/A</v>
      </c>
      <c r="D740" s="81" t="e">
        <f ca="1">VLOOKUP(B740,Calc!$K$77:$L$87,2,FALSE)</f>
        <v>#N/A</v>
      </c>
      <c r="E740" s="523" t="e">
        <f ca="1">VLOOKUP(B740,Calc!$K$88:$L$98,2,FALSE)</f>
        <v>#N/A</v>
      </c>
      <c r="F740" s="523" t="e">
        <f ca="1">IF(Errorhandling!$C$42,INDEX(Calc!$J$99:$J$109,MATCH(Display!B740,Calc!$K$99:$K$109,0),1),#N/A)</f>
        <v>#N/A</v>
      </c>
    </row>
    <row r="741" spans="2:6" x14ac:dyDescent="0.2">
      <c r="B741" s="6">
        <f t="shared" si="15"/>
        <v>738</v>
      </c>
      <c r="C741" s="81" t="e">
        <f ca="1">VLOOKUP(B741,Calc!$K$66:$L$76,2,FALSE)</f>
        <v>#N/A</v>
      </c>
      <c r="D741" s="81" t="e">
        <f ca="1">VLOOKUP(B741,Calc!$K$77:$L$87,2,FALSE)</f>
        <v>#N/A</v>
      </c>
      <c r="E741" s="523" t="e">
        <f ca="1">VLOOKUP(B741,Calc!$K$88:$L$98,2,FALSE)</f>
        <v>#N/A</v>
      </c>
      <c r="F741" s="523" t="e">
        <f ca="1">IF(Errorhandling!$C$42,INDEX(Calc!$J$99:$J$109,MATCH(Display!B741,Calc!$K$99:$K$109,0),1),#N/A)</f>
        <v>#N/A</v>
      </c>
    </row>
    <row r="742" spans="2:6" x14ac:dyDescent="0.2">
      <c r="B742" s="6">
        <f t="shared" si="15"/>
        <v>739</v>
      </c>
      <c r="C742" s="81" t="e">
        <f ca="1">VLOOKUP(B742,Calc!$K$66:$L$76,2,FALSE)</f>
        <v>#N/A</v>
      </c>
      <c r="D742" s="81" t="e">
        <f ca="1">VLOOKUP(B742,Calc!$K$77:$L$87,2,FALSE)</f>
        <v>#N/A</v>
      </c>
      <c r="E742" s="523" t="e">
        <f ca="1">VLOOKUP(B742,Calc!$K$88:$L$98,2,FALSE)</f>
        <v>#N/A</v>
      </c>
      <c r="F742" s="523" t="e">
        <f ca="1">IF(Errorhandling!$C$42,INDEX(Calc!$J$99:$J$109,MATCH(Display!B742,Calc!$K$99:$K$109,0),1),#N/A)</f>
        <v>#N/A</v>
      </c>
    </row>
    <row r="743" spans="2:6" x14ac:dyDescent="0.2">
      <c r="B743" s="6">
        <f t="shared" si="15"/>
        <v>740</v>
      </c>
      <c r="C743" s="81" t="e">
        <f ca="1">VLOOKUP(B743,Calc!$K$66:$L$76,2,FALSE)</f>
        <v>#N/A</v>
      </c>
      <c r="D743" s="81" t="e">
        <f ca="1">VLOOKUP(B743,Calc!$K$77:$L$87,2,FALSE)</f>
        <v>#N/A</v>
      </c>
      <c r="E743" s="523" t="e">
        <f ca="1">VLOOKUP(B743,Calc!$K$88:$L$98,2,FALSE)</f>
        <v>#N/A</v>
      </c>
      <c r="F743" s="523" t="e">
        <f ca="1">IF(Errorhandling!$C$42,INDEX(Calc!$J$99:$J$109,MATCH(Display!B743,Calc!$K$99:$K$109,0),1),#N/A)</f>
        <v>#N/A</v>
      </c>
    </row>
    <row r="744" spans="2:6" x14ac:dyDescent="0.2">
      <c r="B744" s="6">
        <f t="shared" si="15"/>
        <v>741</v>
      </c>
      <c r="C744" s="81" t="e">
        <f ca="1">VLOOKUP(B744,Calc!$K$66:$L$76,2,FALSE)</f>
        <v>#N/A</v>
      </c>
      <c r="D744" s="81" t="e">
        <f ca="1">VLOOKUP(B744,Calc!$K$77:$L$87,2,FALSE)</f>
        <v>#N/A</v>
      </c>
      <c r="E744" s="523" t="e">
        <f ca="1">VLOOKUP(B744,Calc!$K$88:$L$98,2,FALSE)</f>
        <v>#N/A</v>
      </c>
      <c r="F744" s="523" t="e">
        <f ca="1">IF(Errorhandling!$C$42,INDEX(Calc!$J$99:$J$109,MATCH(Display!B744,Calc!$K$99:$K$109,0),1),#N/A)</f>
        <v>#N/A</v>
      </c>
    </row>
    <row r="745" spans="2:6" x14ac:dyDescent="0.2">
      <c r="B745" s="6">
        <f t="shared" si="15"/>
        <v>742</v>
      </c>
      <c r="C745" s="81" t="e">
        <f ca="1">VLOOKUP(B745,Calc!$K$66:$L$76,2,FALSE)</f>
        <v>#N/A</v>
      </c>
      <c r="D745" s="81" t="e">
        <f ca="1">VLOOKUP(B745,Calc!$K$77:$L$87,2,FALSE)</f>
        <v>#N/A</v>
      </c>
      <c r="E745" s="523" t="e">
        <f ca="1">VLOOKUP(B745,Calc!$K$88:$L$98,2,FALSE)</f>
        <v>#N/A</v>
      </c>
      <c r="F745" s="523" t="e">
        <f ca="1">IF(Errorhandling!$C$42,INDEX(Calc!$J$99:$J$109,MATCH(Display!B745,Calc!$K$99:$K$109,0),1),#N/A)</f>
        <v>#N/A</v>
      </c>
    </row>
    <row r="746" spans="2:6" x14ac:dyDescent="0.2">
      <c r="B746" s="6">
        <f t="shared" si="15"/>
        <v>743</v>
      </c>
      <c r="C746" s="81" t="e">
        <f ca="1">VLOOKUP(B746,Calc!$K$66:$L$76,2,FALSE)</f>
        <v>#N/A</v>
      </c>
      <c r="D746" s="81" t="e">
        <f ca="1">VLOOKUP(B746,Calc!$K$77:$L$87,2,FALSE)</f>
        <v>#N/A</v>
      </c>
      <c r="E746" s="523" t="e">
        <f ca="1">VLOOKUP(B746,Calc!$K$88:$L$98,2,FALSE)</f>
        <v>#N/A</v>
      </c>
      <c r="F746" s="523" t="e">
        <f ca="1">IF(Errorhandling!$C$42,INDEX(Calc!$J$99:$J$109,MATCH(Display!B746,Calc!$K$99:$K$109,0),1),#N/A)</f>
        <v>#N/A</v>
      </c>
    </row>
    <row r="747" spans="2:6" x14ac:dyDescent="0.2">
      <c r="B747" s="6">
        <f t="shared" si="15"/>
        <v>744</v>
      </c>
      <c r="C747" s="81" t="e">
        <f ca="1">VLOOKUP(B747,Calc!$K$66:$L$76,2,FALSE)</f>
        <v>#N/A</v>
      </c>
      <c r="D747" s="81" t="e">
        <f ca="1">VLOOKUP(B747,Calc!$K$77:$L$87,2,FALSE)</f>
        <v>#N/A</v>
      </c>
      <c r="E747" s="523" t="e">
        <f ca="1">VLOOKUP(B747,Calc!$K$88:$L$98,2,FALSE)</f>
        <v>#N/A</v>
      </c>
      <c r="F747" s="523" t="e">
        <f ca="1">IF(Errorhandling!$C$42,INDEX(Calc!$J$99:$J$109,MATCH(Display!B747,Calc!$K$99:$K$109,0),1),#N/A)</f>
        <v>#N/A</v>
      </c>
    </row>
    <row r="748" spans="2:6" x14ac:dyDescent="0.2">
      <c r="B748" s="6">
        <f t="shared" si="15"/>
        <v>745</v>
      </c>
      <c r="C748" s="81" t="e">
        <f ca="1">VLOOKUP(B748,Calc!$K$66:$L$76,2,FALSE)</f>
        <v>#N/A</v>
      </c>
      <c r="D748" s="81" t="e">
        <f ca="1">VLOOKUP(B748,Calc!$K$77:$L$87,2,FALSE)</f>
        <v>#N/A</v>
      </c>
      <c r="E748" s="523" t="e">
        <f ca="1">VLOOKUP(B748,Calc!$K$88:$L$98,2,FALSE)</f>
        <v>#N/A</v>
      </c>
      <c r="F748" s="523" t="e">
        <f ca="1">IF(Errorhandling!$C$42,INDEX(Calc!$J$99:$J$109,MATCH(Display!B748,Calc!$K$99:$K$109,0),1),#N/A)</f>
        <v>#N/A</v>
      </c>
    </row>
    <row r="749" spans="2:6" x14ac:dyDescent="0.2">
      <c r="B749" s="6">
        <f t="shared" si="15"/>
        <v>746</v>
      </c>
      <c r="C749" s="81" t="e">
        <f ca="1">VLOOKUP(B749,Calc!$K$66:$L$76,2,FALSE)</f>
        <v>#N/A</v>
      </c>
      <c r="D749" s="81" t="e">
        <f ca="1">VLOOKUP(B749,Calc!$K$77:$L$87,2,FALSE)</f>
        <v>#N/A</v>
      </c>
      <c r="E749" s="523" t="e">
        <f ca="1">VLOOKUP(B749,Calc!$K$88:$L$98,2,FALSE)</f>
        <v>#N/A</v>
      </c>
      <c r="F749" s="523" t="e">
        <f ca="1">IF(Errorhandling!$C$42,INDEX(Calc!$J$99:$J$109,MATCH(Display!B749,Calc!$K$99:$K$109,0),1),#N/A)</f>
        <v>#N/A</v>
      </c>
    </row>
    <row r="750" spans="2:6" x14ac:dyDescent="0.2">
      <c r="B750" s="6">
        <f t="shared" si="15"/>
        <v>747</v>
      </c>
      <c r="C750" s="81" t="e">
        <f ca="1">VLOOKUP(B750,Calc!$K$66:$L$76,2,FALSE)</f>
        <v>#N/A</v>
      </c>
      <c r="D750" s="81" t="e">
        <f ca="1">VLOOKUP(B750,Calc!$K$77:$L$87,2,FALSE)</f>
        <v>#N/A</v>
      </c>
      <c r="E750" s="523" t="e">
        <f ca="1">VLOOKUP(B750,Calc!$K$88:$L$98,2,FALSE)</f>
        <v>#N/A</v>
      </c>
      <c r="F750" s="523" t="e">
        <f ca="1">IF(Errorhandling!$C$42,INDEX(Calc!$J$99:$J$109,MATCH(Display!B750,Calc!$K$99:$K$109,0),1),#N/A)</f>
        <v>#N/A</v>
      </c>
    </row>
    <row r="751" spans="2:6" x14ac:dyDescent="0.2">
      <c r="B751" s="6">
        <f t="shared" si="15"/>
        <v>748</v>
      </c>
      <c r="C751" s="81" t="e">
        <f ca="1">VLOOKUP(B751,Calc!$K$66:$L$76,2,FALSE)</f>
        <v>#N/A</v>
      </c>
      <c r="D751" s="81" t="e">
        <f ca="1">VLOOKUP(B751,Calc!$K$77:$L$87,2,FALSE)</f>
        <v>#N/A</v>
      </c>
      <c r="E751" s="523" t="e">
        <f ca="1">VLOOKUP(B751,Calc!$K$88:$L$98,2,FALSE)</f>
        <v>#N/A</v>
      </c>
      <c r="F751" s="523" t="e">
        <f ca="1">IF(Errorhandling!$C$42,INDEX(Calc!$J$99:$J$109,MATCH(Display!B751,Calc!$K$99:$K$109,0),1),#N/A)</f>
        <v>#N/A</v>
      </c>
    </row>
    <row r="752" spans="2:6" x14ac:dyDescent="0.2">
      <c r="B752" s="6">
        <f t="shared" si="15"/>
        <v>749</v>
      </c>
      <c r="C752" s="81" t="e">
        <f ca="1">VLOOKUP(B752,Calc!$K$66:$L$76,2,FALSE)</f>
        <v>#N/A</v>
      </c>
      <c r="D752" s="81" t="e">
        <f ca="1">VLOOKUP(B752,Calc!$K$77:$L$87,2,FALSE)</f>
        <v>#N/A</v>
      </c>
      <c r="E752" s="523" t="e">
        <f ca="1">VLOOKUP(B752,Calc!$K$88:$L$98,2,FALSE)</f>
        <v>#N/A</v>
      </c>
      <c r="F752" s="523" t="e">
        <f ca="1">IF(Errorhandling!$C$42,INDEX(Calc!$J$99:$J$109,MATCH(Display!B752,Calc!$K$99:$K$109,0),1),#N/A)</f>
        <v>#N/A</v>
      </c>
    </row>
    <row r="753" spans="2:6" x14ac:dyDescent="0.2">
      <c r="B753" s="6">
        <f t="shared" si="15"/>
        <v>750</v>
      </c>
      <c r="C753" s="81" t="e">
        <f ca="1">VLOOKUP(B753,Calc!$K$66:$L$76,2,FALSE)</f>
        <v>#N/A</v>
      </c>
      <c r="D753" s="81" t="e">
        <f ca="1">VLOOKUP(B753,Calc!$K$77:$L$87,2,FALSE)</f>
        <v>#N/A</v>
      </c>
      <c r="E753" s="523" t="e">
        <f ca="1">VLOOKUP(B753,Calc!$K$88:$L$98,2,FALSE)</f>
        <v>#N/A</v>
      </c>
      <c r="F753" s="523" t="e">
        <f ca="1">IF(Errorhandling!$C$42,INDEX(Calc!$J$99:$J$109,MATCH(Display!B753,Calc!$K$99:$K$109,0),1),#N/A)</f>
        <v>#N/A</v>
      </c>
    </row>
    <row r="754" spans="2:6" x14ac:dyDescent="0.2">
      <c r="B754" s="6">
        <f t="shared" si="15"/>
        <v>751</v>
      </c>
      <c r="C754" s="81" t="e">
        <f ca="1">VLOOKUP(B754,Calc!$K$66:$L$76,2,FALSE)</f>
        <v>#N/A</v>
      </c>
      <c r="D754" s="81" t="e">
        <f ca="1">VLOOKUP(B754,Calc!$K$77:$L$87,2,FALSE)</f>
        <v>#N/A</v>
      </c>
      <c r="E754" s="523" t="e">
        <f ca="1">VLOOKUP(B754,Calc!$K$88:$L$98,2,FALSE)</f>
        <v>#N/A</v>
      </c>
      <c r="F754" s="523" t="e">
        <f ca="1">IF(Errorhandling!$C$42,INDEX(Calc!$J$99:$J$109,MATCH(Display!B754,Calc!$K$99:$K$109,0),1),#N/A)</f>
        <v>#N/A</v>
      </c>
    </row>
    <row r="755" spans="2:6" x14ac:dyDescent="0.2">
      <c r="B755" s="6">
        <f t="shared" si="15"/>
        <v>752</v>
      </c>
      <c r="C755" s="81" t="e">
        <f ca="1">VLOOKUP(B755,Calc!$K$66:$L$76,2,FALSE)</f>
        <v>#N/A</v>
      </c>
      <c r="D755" s="81" t="e">
        <f ca="1">VLOOKUP(B755,Calc!$K$77:$L$87,2,FALSE)</f>
        <v>#N/A</v>
      </c>
      <c r="E755" s="523" t="e">
        <f ca="1">VLOOKUP(B755,Calc!$K$88:$L$98,2,FALSE)</f>
        <v>#N/A</v>
      </c>
      <c r="F755" s="523" t="e">
        <f ca="1">IF(Errorhandling!$C$42,INDEX(Calc!$J$99:$J$109,MATCH(Display!B755,Calc!$K$99:$K$109,0),1),#N/A)</f>
        <v>#N/A</v>
      </c>
    </row>
    <row r="756" spans="2:6" x14ac:dyDescent="0.2">
      <c r="B756" s="6">
        <f t="shared" si="15"/>
        <v>753</v>
      </c>
      <c r="C756" s="81" t="e">
        <f ca="1">VLOOKUP(B756,Calc!$K$66:$L$76,2,FALSE)</f>
        <v>#N/A</v>
      </c>
      <c r="D756" s="81" t="e">
        <f ca="1">VLOOKUP(B756,Calc!$K$77:$L$87,2,FALSE)</f>
        <v>#N/A</v>
      </c>
      <c r="E756" s="523" t="e">
        <f ca="1">VLOOKUP(B756,Calc!$K$88:$L$98,2,FALSE)</f>
        <v>#N/A</v>
      </c>
      <c r="F756" s="523" t="e">
        <f ca="1">IF(Errorhandling!$C$42,INDEX(Calc!$J$99:$J$109,MATCH(Display!B756,Calc!$K$99:$K$109,0),1),#N/A)</f>
        <v>#N/A</v>
      </c>
    </row>
    <row r="757" spans="2:6" x14ac:dyDescent="0.2">
      <c r="B757" s="6">
        <f t="shared" si="15"/>
        <v>754</v>
      </c>
      <c r="C757" s="81" t="e">
        <f ca="1">VLOOKUP(B757,Calc!$K$66:$L$76,2,FALSE)</f>
        <v>#N/A</v>
      </c>
      <c r="D757" s="81" t="e">
        <f ca="1">VLOOKUP(B757,Calc!$K$77:$L$87,2,FALSE)</f>
        <v>#N/A</v>
      </c>
      <c r="E757" s="523" t="e">
        <f ca="1">VLOOKUP(B757,Calc!$K$88:$L$98,2,FALSE)</f>
        <v>#N/A</v>
      </c>
      <c r="F757" s="523" t="e">
        <f ca="1">IF(Errorhandling!$C$42,INDEX(Calc!$J$99:$J$109,MATCH(Display!B757,Calc!$K$99:$K$109,0),1),#N/A)</f>
        <v>#N/A</v>
      </c>
    </row>
    <row r="758" spans="2:6" x14ac:dyDescent="0.2">
      <c r="B758" s="6">
        <f t="shared" si="15"/>
        <v>755</v>
      </c>
      <c r="C758" s="81" t="e">
        <f ca="1">VLOOKUP(B758,Calc!$K$66:$L$76,2,FALSE)</f>
        <v>#N/A</v>
      </c>
      <c r="D758" s="81" t="e">
        <f ca="1">VLOOKUP(B758,Calc!$K$77:$L$87,2,FALSE)</f>
        <v>#N/A</v>
      </c>
      <c r="E758" s="523" t="e">
        <f ca="1">VLOOKUP(B758,Calc!$K$88:$L$98,2,FALSE)</f>
        <v>#N/A</v>
      </c>
      <c r="F758" s="523" t="e">
        <f ca="1">IF(Errorhandling!$C$42,INDEX(Calc!$J$99:$J$109,MATCH(Display!B758,Calc!$K$99:$K$109,0),1),#N/A)</f>
        <v>#N/A</v>
      </c>
    </row>
    <row r="759" spans="2:6" x14ac:dyDescent="0.2">
      <c r="B759" s="6">
        <f t="shared" si="15"/>
        <v>756</v>
      </c>
      <c r="C759" s="81" t="e">
        <f ca="1">VLOOKUP(B759,Calc!$K$66:$L$76,2,FALSE)</f>
        <v>#N/A</v>
      </c>
      <c r="D759" s="81" t="e">
        <f ca="1">VLOOKUP(B759,Calc!$K$77:$L$87,2,FALSE)</f>
        <v>#N/A</v>
      </c>
      <c r="E759" s="523" t="e">
        <f ca="1">VLOOKUP(B759,Calc!$K$88:$L$98,2,FALSE)</f>
        <v>#N/A</v>
      </c>
      <c r="F759" s="523" t="e">
        <f ca="1">IF(Errorhandling!$C$42,INDEX(Calc!$J$99:$J$109,MATCH(Display!B759,Calc!$K$99:$K$109,0),1),#N/A)</f>
        <v>#N/A</v>
      </c>
    </row>
    <row r="760" spans="2:6" x14ac:dyDescent="0.2">
      <c r="B760" s="6">
        <f t="shared" si="15"/>
        <v>757</v>
      </c>
      <c r="C760" s="81" t="e">
        <f ca="1">VLOOKUP(B760,Calc!$K$66:$L$76,2,FALSE)</f>
        <v>#N/A</v>
      </c>
      <c r="D760" s="81" t="e">
        <f ca="1">VLOOKUP(B760,Calc!$K$77:$L$87,2,FALSE)</f>
        <v>#N/A</v>
      </c>
      <c r="E760" s="523" t="e">
        <f ca="1">VLOOKUP(B760,Calc!$K$88:$L$98,2,FALSE)</f>
        <v>#N/A</v>
      </c>
      <c r="F760" s="523" t="e">
        <f ca="1">IF(Errorhandling!$C$42,INDEX(Calc!$J$99:$J$109,MATCH(Display!B760,Calc!$K$99:$K$109,0),1),#N/A)</f>
        <v>#N/A</v>
      </c>
    </row>
    <row r="761" spans="2:6" x14ac:dyDescent="0.2">
      <c r="B761" s="6">
        <f t="shared" si="15"/>
        <v>758</v>
      </c>
      <c r="C761" s="81" t="e">
        <f ca="1">VLOOKUP(B761,Calc!$K$66:$L$76,2,FALSE)</f>
        <v>#N/A</v>
      </c>
      <c r="D761" s="81" t="e">
        <f ca="1">VLOOKUP(B761,Calc!$K$77:$L$87,2,FALSE)</f>
        <v>#N/A</v>
      </c>
      <c r="E761" s="523" t="e">
        <f ca="1">VLOOKUP(B761,Calc!$K$88:$L$98,2,FALSE)</f>
        <v>#N/A</v>
      </c>
      <c r="F761" s="523" t="e">
        <f ca="1">IF(Errorhandling!$C$42,INDEX(Calc!$J$99:$J$109,MATCH(Display!B761,Calc!$K$99:$K$109,0),1),#N/A)</f>
        <v>#N/A</v>
      </c>
    </row>
    <row r="762" spans="2:6" x14ac:dyDescent="0.2">
      <c r="B762" s="6">
        <f t="shared" si="15"/>
        <v>759</v>
      </c>
      <c r="C762" s="81" t="e">
        <f ca="1">VLOOKUP(B762,Calc!$K$66:$L$76,2,FALSE)</f>
        <v>#N/A</v>
      </c>
      <c r="D762" s="81" t="e">
        <f ca="1">VLOOKUP(B762,Calc!$K$77:$L$87,2,FALSE)</f>
        <v>#N/A</v>
      </c>
      <c r="E762" s="523" t="e">
        <f ca="1">VLOOKUP(B762,Calc!$K$88:$L$98,2,FALSE)</f>
        <v>#N/A</v>
      </c>
      <c r="F762" s="523" t="e">
        <f ca="1">IF(Errorhandling!$C$42,INDEX(Calc!$J$99:$J$109,MATCH(Display!B762,Calc!$K$99:$K$109,0),1),#N/A)</f>
        <v>#N/A</v>
      </c>
    </row>
    <row r="763" spans="2:6" x14ac:dyDescent="0.2">
      <c r="B763" s="6">
        <f t="shared" si="15"/>
        <v>760</v>
      </c>
      <c r="C763" s="81" t="e">
        <f ca="1">VLOOKUP(B763,Calc!$K$66:$L$76,2,FALSE)</f>
        <v>#N/A</v>
      </c>
      <c r="D763" s="81" t="e">
        <f ca="1">VLOOKUP(B763,Calc!$K$77:$L$87,2,FALSE)</f>
        <v>#N/A</v>
      </c>
      <c r="E763" s="523" t="e">
        <f ca="1">VLOOKUP(B763,Calc!$K$88:$L$98,2,FALSE)</f>
        <v>#N/A</v>
      </c>
      <c r="F763" s="523" t="e">
        <f ca="1">IF(Errorhandling!$C$42,INDEX(Calc!$J$99:$J$109,MATCH(Display!B763,Calc!$K$99:$K$109,0),1),#N/A)</f>
        <v>#N/A</v>
      </c>
    </row>
    <row r="764" spans="2:6" x14ac:dyDescent="0.2">
      <c r="B764" s="6">
        <f t="shared" si="15"/>
        <v>761</v>
      </c>
      <c r="C764" s="81" t="e">
        <f ca="1">VLOOKUP(B764,Calc!$K$66:$L$76,2,FALSE)</f>
        <v>#N/A</v>
      </c>
      <c r="D764" s="81" t="e">
        <f ca="1">VLOOKUP(B764,Calc!$K$77:$L$87,2,FALSE)</f>
        <v>#N/A</v>
      </c>
      <c r="E764" s="523" t="e">
        <f ca="1">VLOOKUP(B764,Calc!$K$88:$L$98,2,FALSE)</f>
        <v>#N/A</v>
      </c>
      <c r="F764" s="523" t="e">
        <f ca="1">IF(Errorhandling!$C$42,INDEX(Calc!$J$99:$J$109,MATCH(Display!B764,Calc!$K$99:$K$109,0),1),#N/A)</f>
        <v>#N/A</v>
      </c>
    </row>
    <row r="765" spans="2:6" x14ac:dyDescent="0.2">
      <c r="B765" s="6">
        <f t="shared" si="15"/>
        <v>762</v>
      </c>
      <c r="C765" s="81" t="e">
        <f ca="1">VLOOKUP(B765,Calc!$K$66:$L$76,2,FALSE)</f>
        <v>#N/A</v>
      </c>
      <c r="D765" s="81" t="e">
        <f ca="1">VLOOKUP(B765,Calc!$K$77:$L$87,2,FALSE)</f>
        <v>#N/A</v>
      </c>
      <c r="E765" s="523" t="e">
        <f ca="1">VLOOKUP(B765,Calc!$K$88:$L$98,2,FALSE)</f>
        <v>#N/A</v>
      </c>
      <c r="F765" s="523" t="e">
        <f ca="1">IF(Errorhandling!$C$42,INDEX(Calc!$J$99:$J$109,MATCH(Display!B765,Calc!$K$99:$K$109,0),1),#N/A)</f>
        <v>#N/A</v>
      </c>
    </row>
    <row r="766" spans="2:6" x14ac:dyDescent="0.2">
      <c r="B766" s="6">
        <f t="shared" si="15"/>
        <v>763</v>
      </c>
      <c r="C766" s="81" t="e">
        <f ca="1">VLOOKUP(B766,Calc!$K$66:$L$76,2,FALSE)</f>
        <v>#N/A</v>
      </c>
      <c r="D766" s="81" t="e">
        <f ca="1">VLOOKUP(B766,Calc!$K$77:$L$87,2,FALSE)</f>
        <v>#N/A</v>
      </c>
      <c r="E766" s="523" t="e">
        <f ca="1">VLOOKUP(B766,Calc!$K$88:$L$98,2,FALSE)</f>
        <v>#N/A</v>
      </c>
      <c r="F766" s="523" t="e">
        <f ca="1">IF(Errorhandling!$C$42,INDEX(Calc!$J$99:$J$109,MATCH(Display!B766,Calc!$K$99:$K$109,0),1),#N/A)</f>
        <v>#N/A</v>
      </c>
    </row>
    <row r="767" spans="2:6" x14ac:dyDescent="0.2">
      <c r="B767" s="6">
        <f t="shared" si="15"/>
        <v>764</v>
      </c>
      <c r="C767" s="81" t="e">
        <f ca="1">VLOOKUP(B767,Calc!$K$66:$L$76,2,FALSE)</f>
        <v>#N/A</v>
      </c>
      <c r="D767" s="81" t="e">
        <f ca="1">VLOOKUP(B767,Calc!$K$77:$L$87,2,FALSE)</f>
        <v>#N/A</v>
      </c>
      <c r="E767" s="523" t="e">
        <f ca="1">VLOOKUP(B767,Calc!$K$88:$L$98,2,FALSE)</f>
        <v>#N/A</v>
      </c>
      <c r="F767" s="523" t="e">
        <f ca="1">IF(Errorhandling!$C$42,INDEX(Calc!$J$99:$J$109,MATCH(Display!B767,Calc!$K$99:$K$109,0),1),#N/A)</f>
        <v>#N/A</v>
      </c>
    </row>
    <row r="768" spans="2:6" x14ac:dyDescent="0.2">
      <c r="B768" s="6">
        <f t="shared" si="15"/>
        <v>765</v>
      </c>
      <c r="C768" s="81" t="e">
        <f ca="1">VLOOKUP(B768,Calc!$K$66:$L$76,2,FALSE)</f>
        <v>#N/A</v>
      </c>
      <c r="D768" s="81" t="e">
        <f ca="1">VLOOKUP(B768,Calc!$K$77:$L$87,2,FALSE)</f>
        <v>#N/A</v>
      </c>
      <c r="E768" s="523" t="e">
        <f ca="1">VLOOKUP(B768,Calc!$K$88:$L$98,2,FALSE)</f>
        <v>#N/A</v>
      </c>
      <c r="F768" s="523" t="e">
        <f ca="1">IF(Errorhandling!$C$42,INDEX(Calc!$J$99:$J$109,MATCH(Display!B768,Calc!$K$99:$K$109,0),1),#N/A)</f>
        <v>#N/A</v>
      </c>
    </row>
    <row r="769" spans="2:6" x14ac:dyDescent="0.2">
      <c r="B769" s="6">
        <f t="shared" si="15"/>
        <v>766</v>
      </c>
      <c r="C769" s="81" t="e">
        <f ca="1">VLOOKUP(B769,Calc!$K$66:$L$76,2,FALSE)</f>
        <v>#N/A</v>
      </c>
      <c r="D769" s="81" t="e">
        <f ca="1">VLOOKUP(B769,Calc!$K$77:$L$87,2,FALSE)</f>
        <v>#N/A</v>
      </c>
      <c r="E769" s="523" t="e">
        <f ca="1">VLOOKUP(B769,Calc!$K$88:$L$98,2,FALSE)</f>
        <v>#N/A</v>
      </c>
      <c r="F769" s="523" t="e">
        <f ca="1">IF(Errorhandling!$C$42,INDEX(Calc!$J$99:$J$109,MATCH(Display!B769,Calc!$K$99:$K$109,0),1),#N/A)</f>
        <v>#N/A</v>
      </c>
    </row>
    <row r="770" spans="2:6" x14ac:dyDescent="0.2">
      <c r="B770" s="6">
        <f t="shared" si="15"/>
        <v>767</v>
      </c>
      <c r="C770" s="81" t="e">
        <f ca="1">VLOOKUP(B770,Calc!$K$66:$L$76,2,FALSE)</f>
        <v>#N/A</v>
      </c>
      <c r="D770" s="81" t="e">
        <f ca="1">VLOOKUP(B770,Calc!$K$77:$L$87,2,FALSE)</f>
        <v>#N/A</v>
      </c>
      <c r="E770" s="523" t="e">
        <f ca="1">VLOOKUP(B770,Calc!$K$88:$L$98,2,FALSE)</f>
        <v>#N/A</v>
      </c>
      <c r="F770" s="523" t="e">
        <f ca="1">IF(Errorhandling!$C$42,INDEX(Calc!$J$99:$J$109,MATCH(Display!B770,Calc!$K$99:$K$109,0),1),#N/A)</f>
        <v>#N/A</v>
      </c>
    </row>
    <row r="771" spans="2:6" x14ac:dyDescent="0.2">
      <c r="B771" s="6">
        <f t="shared" si="15"/>
        <v>768</v>
      </c>
      <c r="C771" s="81" t="e">
        <f ca="1">VLOOKUP(B771,Calc!$K$66:$L$76,2,FALSE)</f>
        <v>#N/A</v>
      </c>
      <c r="D771" s="81" t="e">
        <f ca="1">VLOOKUP(B771,Calc!$K$77:$L$87,2,FALSE)</f>
        <v>#N/A</v>
      </c>
      <c r="E771" s="523" t="e">
        <f ca="1">VLOOKUP(B771,Calc!$K$88:$L$98,2,FALSE)</f>
        <v>#N/A</v>
      </c>
      <c r="F771" s="523" t="e">
        <f ca="1">IF(Errorhandling!$C$42,INDEX(Calc!$J$99:$J$109,MATCH(Display!B771,Calc!$K$99:$K$109,0),1),#N/A)</f>
        <v>#N/A</v>
      </c>
    </row>
    <row r="772" spans="2:6" x14ac:dyDescent="0.2">
      <c r="B772" s="6">
        <f t="shared" si="15"/>
        <v>769</v>
      </c>
      <c r="C772" s="81" t="e">
        <f ca="1">VLOOKUP(B772,Calc!$K$66:$L$76,2,FALSE)</f>
        <v>#N/A</v>
      </c>
      <c r="D772" s="81" t="e">
        <f ca="1">VLOOKUP(B772,Calc!$K$77:$L$87,2,FALSE)</f>
        <v>#N/A</v>
      </c>
      <c r="E772" s="523" t="e">
        <f ca="1">VLOOKUP(B772,Calc!$K$88:$L$98,2,FALSE)</f>
        <v>#N/A</v>
      </c>
      <c r="F772" s="523" t="e">
        <f ca="1">IF(Errorhandling!$C$42,INDEX(Calc!$J$99:$J$109,MATCH(Display!B772,Calc!$K$99:$K$109,0),1),#N/A)</f>
        <v>#N/A</v>
      </c>
    </row>
    <row r="773" spans="2:6" x14ac:dyDescent="0.2">
      <c r="B773" s="6">
        <f t="shared" si="15"/>
        <v>770</v>
      </c>
      <c r="C773" s="81" t="e">
        <f ca="1">VLOOKUP(B773,Calc!$K$66:$L$76,2,FALSE)</f>
        <v>#N/A</v>
      </c>
      <c r="D773" s="81" t="e">
        <f ca="1">VLOOKUP(B773,Calc!$K$77:$L$87,2,FALSE)</f>
        <v>#N/A</v>
      </c>
      <c r="E773" s="523" t="e">
        <f ca="1">VLOOKUP(B773,Calc!$K$88:$L$98,2,FALSE)</f>
        <v>#N/A</v>
      </c>
      <c r="F773" s="523" t="e">
        <f ca="1">IF(Errorhandling!$C$42,INDEX(Calc!$J$99:$J$109,MATCH(Display!B773,Calc!$K$99:$K$109,0),1),#N/A)</f>
        <v>#N/A</v>
      </c>
    </row>
    <row r="774" spans="2:6" x14ac:dyDescent="0.2">
      <c r="B774" s="6">
        <f t="shared" si="15"/>
        <v>771</v>
      </c>
      <c r="C774" s="81" t="e">
        <f ca="1">VLOOKUP(B774,Calc!$K$66:$L$76,2,FALSE)</f>
        <v>#N/A</v>
      </c>
      <c r="D774" s="81" t="e">
        <f ca="1">VLOOKUP(B774,Calc!$K$77:$L$87,2,FALSE)</f>
        <v>#N/A</v>
      </c>
      <c r="E774" s="523" t="e">
        <f ca="1">VLOOKUP(B774,Calc!$K$88:$L$98,2,FALSE)</f>
        <v>#N/A</v>
      </c>
      <c r="F774" s="523" t="e">
        <f ca="1">IF(Errorhandling!$C$42,INDEX(Calc!$J$99:$J$109,MATCH(Display!B774,Calc!$K$99:$K$109,0),1),#N/A)</f>
        <v>#N/A</v>
      </c>
    </row>
    <row r="775" spans="2:6" x14ac:dyDescent="0.2">
      <c r="B775" s="6">
        <f t="shared" ref="B775:B838" si="16">1+B774</f>
        <v>772</v>
      </c>
      <c r="C775" s="81" t="e">
        <f ca="1">VLOOKUP(B775,Calc!$K$66:$L$76,2,FALSE)</f>
        <v>#N/A</v>
      </c>
      <c r="D775" s="81" t="e">
        <f ca="1">VLOOKUP(B775,Calc!$K$77:$L$87,2,FALSE)</f>
        <v>#N/A</v>
      </c>
      <c r="E775" s="523" t="e">
        <f ca="1">VLOOKUP(B775,Calc!$K$88:$L$98,2,FALSE)</f>
        <v>#N/A</v>
      </c>
      <c r="F775" s="523" t="e">
        <f ca="1">IF(Errorhandling!$C$42,INDEX(Calc!$J$99:$J$109,MATCH(Display!B775,Calc!$K$99:$K$109,0),1),#N/A)</f>
        <v>#N/A</v>
      </c>
    </row>
    <row r="776" spans="2:6" x14ac:dyDescent="0.2">
      <c r="B776" s="6">
        <f t="shared" si="16"/>
        <v>773</v>
      </c>
      <c r="C776" s="81" t="e">
        <f ca="1">VLOOKUP(B776,Calc!$K$66:$L$76,2,FALSE)</f>
        <v>#N/A</v>
      </c>
      <c r="D776" s="81" t="e">
        <f ca="1">VLOOKUP(B776,Calc!$K$77:$L$87,2,FALSE)</f>
        <v>#N/A</v>
      </c>
      <c r="E776" s="523" t="e">
        <f ca="1">VLOOKUP(B776,Calc!$K$88:$L$98,2,FALSE)</f>
        <v>#N/A</v>
      </c>
      <c r="F776" s="523" t="e">
        <f ca="1">IF(Errorhandling!$C$42,INDEX(Calc!$J$99:$J$109,MATCH(Display!B776,Calc!$K$99:$K$109,0),1),#N/A)</f>
        <v>#N/A</v>
      </c>
    </row>
    <row r="777" spans="2:6" x14ac:dyDescent="0.2">
      <c r="B777" s="6">
        <f t="shared" si="16"/>
        <v>774</v>
      </c>
      <c r="C777" s="81" t="e">
        <f ca="1">VLOOKUP(B777,Calc!$K$66:$L$76,2,FALSE)</f>
        <v>#N/A</v>
      </c>
      <c r="D777" s="81" t="e">
        <f ca="1">VLOOKUP(B777,Calc!$K$77:$L$87,2,FALSE)</f>
        <v>#N/A</v>
      </c>
      <c r="E777" s="523" t="e">
        <f ca="1">VLOOKUP(B777,Calc!$K$88:$L$98,2,FALSE)</f>
        <v>#N/A</v>
      </c>
      <c r="F777" s="523" t="e">
        <f ca="1">IF(Errorhandling!$C$42,INDEX(Calc!$J$99:$J$109,MATCH(Display!B777,Calc!$K$99:$K$109,0),1),#N/A)</f>
        <v>#N/A</v>
      </c>
    </row>
    <row r="778" spans="2:6" x14ac:dyDescent="0.2">
      <c r="B778" s="6">
        <f t="shared" si="16"/>
        <v>775</v>
      </c>
      <c r="C778" s="81" t="e">
        <f ca="1">VLOOKUP(B778,Calc!$K$66:$L$76,2,FALSE)</f>
        <v>#N/A</v>
      </c>
      <c r="D778" s="81" t="e">
        <f ca="1">VLOOKUP(B778,Calc!$K$77:$L$87,2,FALSE)</f>
        <v>#N/A</v>
      </c>
      <c r="E778" s="523" t="e">
        <f ca="1">VLOOKUP(B778,Calc!$K$88:$L$98,2,FALSE)</f>
        <v>#N/A</v>
      </c>
      <c r="F778" s="523" t="e">
        <f ca="1">IF(Errorhandling!$C$42,INDEX(Calc!$J$99:$J$109,MATCH(Display!B778,Calc!$K$99:$K$109,0),1),#N/A)</f>
        <v>#N/A</v>
      </c>
    </row>
    <row r="779" spans="2:6" x14ac:dyDescent="0.2">
      <c r="B779" s="6">
        <f t="shared" si="16"/>
        <v>776</v>
      </c>
      <c r="C779" s="81" t="e">
        <f ca="1">VLOOKUP(B779,Calc!$K$66:$L$76,2,FALSE)</f>
        <v>#N/A</v>
      </c>
      <c r="D779" s="81" t="e">
        <f ca="1">VLOOKUP(B779,Calc!$K$77:$L$87,2,FALSE)</f>
        <v>#N/A</v>
      </c>
      <c r="E779" s="523" t="e">
        <f ca="1">VLOOKUP(B779,Calc!$K$88:$L$98,2,FALSE)</f>
        <v>#N/A</v>
      </c>
      <c r="F779" s="523" t="e">
        <f ca="1">IF(Errorhandling!$C$42,INDEX(Calc!$J$99:$J$109,MATCH(Display!B779,Calc!$K$99:$K$109,0),1),#N/A)</f>
        <v>#N/A</v>
      </c>
    </row>
    <row r="780" spans="2:6" x14ac:dyDescent="0.2">
      <c r="B780" s="6">
        <f t="shared" si="16"/>
        <v>777</v>
      </c>
      <c r="C780" s="81" t="e">
        <f ca="1">VLOOKUP(B780,Calc!$K$66:$L$76,2,FALSE)</f>
        <v>#N/A</v>
      </c>
      <c r="D780" s="81" t="e">
        <f ca="1">VLOOKUP(B780,Calc!$K$77:$L$87,2,FALSE)</f>
        <v>#N/A</v>
      </c>
      <c r="E780" s="523" t="e">
        <f ca="1">VLOOKUP(B780,Calc!$K$88:$L$98,2,FALSE)</f>
        <v>#N/A</v>
      </c>
      <c r="F780" s="523" t="e">
        <f ca="1">IF(Errorhandling!$C$42,INDEX(Calc!$J$99:$J$109,MATCH(Display!B780,Calc!$K$99:$K$109,0),1),#N/A)</f>
        <v>#N/A</v>
      </c>
    </row>
    <row r="781" spans="2:6" x14ac:dyDescent="0.2">
      <c r="B781" s="6">
        <f t="shared" si="16"/>
        <v>778</v>
      </c>
      <c r="C781" s="81" t="e">
        <f ca="1">VLOOKUP(B781,Calc!$K$66:$L$76,2,FALSE)</f>
        <v>#N/A</v>
      </c>
      <c r="D781" s="81" t="e">
        <f ca="1">VLOOKUP(B781,Calc!$K$77:$L$87,2,FALSE)</f>
        <v>#N/A</v>
      </c>
      <c r="E781" s="523" t="e">
        <f ca="1">VLOOKUP(B781,Calc!$K$88:$L$98,2,FALSE)</f>
        <v>#N/A</v>
      </c>
      <c r="F781" s="523" t="e">
        <f ca="1">IF(Errorhandling!$C$42,INDEX(Calc!$J$99:$J$109,MATCH(Display!B781,Calc!$K$99:$K$109,0),1),#N/A)</f>
        <v>#N/A</v>
      </c>
    </row>
    <row r="782" spans="2:6" x14ac:dyDescent="0.2">
      <c r="B782" s="6">
        <f t="shared" si="16"/>
        <v>779</v>
      </c>
      <c r="C782" s="81" t="e">
        <f ca="1">VLOOKUP(B782,Calc!$K$66:$L$76,2,FALSE)</f>
        <v>#N/A</v>
      </c>
      <c r="D782" s="81" t="e">
        <f ca="1">VLOOKUP(B782,Calc!$K$77:$L$87,2,FALSE)</f>
        <v>#N/A</v>
      </c>
      <c r="E782" s="523" t="e">
        <f ca="1">VLOOKUP(B782,Calc!$K$88:$L$98,2,FALSE)</f>
        <v>#N/A</v>
      </c>
      <c r="F782" s="523" t="e">
        <f ca="1">IF(Errorhandling!$C$42,INDEX(Calc!$J$99:$J$109,MATCH(Display!B782,Calc!$K$99:$K$109,0),1),#N/A)</f>
        <v>#N/A</v>
      </c>
    </row>
    <row r="783" spans="2:6" x14ac:dyDescent="0.2">
      <c r="B783" s="6">
        <f t="shared" si="16"/>
        <v>780</v>
      </c>
      <c r="C783" s="81" t="e">
        <f ca="1">VLOOKUP(B783,Calc!$K$66:$L$76,2,FALSE)</f>
        <v>#N/A</v>
      </c>
      <c r="D783" s="81" t="e">
        <f ca="1">VLOOKUP(B783,Calc!$K$77:$L$87,2,FALSE)</f>
        <v>#N/A</v>
      </c>
      <c r="E783" s="523">
        <f ca="1">VLOOKUP(B783,Calc!$K$88:$L$98,2,FALSE)</f>
        <v>122.92417734399675</v>
      </c>
      <c r="F783" s="523">
        <f ca="1">IF(Errorhandling!$C$42,INDEX(Calc!$J$99:$J$109,MATCH(Display!B783,Calc!$K$99:$K$109,0),1),#N/A)</f>
        <v>3.0877157317486264E-5</v>
      </c>
    </row>
    <row r="784" spans="2:6" x14ac:dyDescent="0.2">
      <c r="B784" s="6">
        <f t="shared" si="16"/>
        <v>781</v>
      </c>
      <c r="C784" s="81" t="e">
        <f ca="1">VLOOKUP(B784,Calc!$K$66:$L$76,2,FALSE)</f>
        <v>#N/A</v>
      </c>
      <c r="D784" s="81" t="e">
        <f ca="1">VLOOKUP(B784,Calc!$K$77:$L$87,2,FALSE)</f>
        <v>#N/A</v>
      </c>
      <c r="E784" s="523" t="e">
        <f ca="1">VLOOKUP(B784,Calc!$K$88:$L$98,2,FALSE)</f>
        <v>#N/A</v>
      </c>
      <c r="F784" s="523" t="e">
        <f ca="1">IF(Errorhandling!$C$42,INDEX(Calc!$J$99:$J$109,MATCH(Display!B784,Calc!$K$99:$K$109,0),1),#N/A)</f>
        <v>#N/A</v>
      </c>
    </row>
    <row r="785" spans="2:6" x14ac:dyDescent="0.2">
      <c r="B785" s="6">
        <f t="shared" si="16"/>
        <v>782</v>
      </c>
      <c r="C785" s="81" t="e">
        <f ca="1">VLOOKUP(B785,Calc!$K$66:$L$76,2,FALSE)</f>
        <v>#N/A</v>
      </c>
      <c r="D785" s="81" t="e">
        <f ca="1">VLOOKUP(B785,Calc!$K$77:$L$87,2,FALSE)</f>
        <v>#N/A</v>
      </c>
      <c r="E785" s="523" t="e">
        <f ca="1">VLOOKUP(B785,Calc!$K$88:$L$98,2,FALSE)</f>
        <v>#N/A</v>
      </c>
      <c r="F785" s="523" t="e">
        <f ca="1">IF(Errorhandling!$C$42,INDEX(Calc!$J$99:$J$109,MATCH(Display!B785,Calc!$K$99:$K$109,0),1),#N/A)</f>
        <v>#N/A</v>
      </c>
    </row>
    <row r="786" spans="2:6" x14ac:dyDescent="0.2">
      <c r="B786" s="6">
        <f t="shared" si="16"/>
        <v>783</v>
      </c>
      <c r="C786" s="81" t="e">
        <f ca="1">VLOOKUP(B786,Calc!$K$66:$L$76,2,FALSE)</f>
        <v>#N/A</v>
      </c>
      <c r="D786" s="81" t="e">
        <f ca="1">VLOOKUP(B786,Calc!$K$77:$L$87,2,FALSE)</f>
        <v>#N/A</v>
      </c>
      <c r="E786" s="523" t="e">
        <f ca="1">VLOOKUP(B786,Calc!$K$88:$L$98,2,FALSE)</f>
        <v>#N/A</v>
      </c>
      <c r="F786" s="523" t="e">
        <f ca="1">IF(Errorhandling!$C$42,INDEX(Calc!$J$99:$J$109,MATCH(Display!B786,Calc!$K$99:$K$109,0),1),#N/A)</f>
        <v>#N/A</v>
      </c>
    </row>
    <row r="787" spans="2:6" x14ac:dyDescent="0.2">
      <c r="B787" s="6">
        <f t="shared" si="16"/>
        <v>784</v>
      </c>
      <c r="C787" s="81" t="e">
        <f ca="1">VLOOKUP(B787,Calc!$K$66:$L$76,2,FALSE)</f>
        <v>#N/A</v>
      </c>
      <c r="D787" s="81" t="e">
        <f ca="1">VLOOKUP(B787,Calc!$K$77:$L$87,2,FALSE)</f>
        <v>#N/A</v>
      </c>
      <c r="E787" s="523" t="e">
        <f ca="1">VLOOKUP(B787,Calc!$K$88:$L$98,2,FALSE)</f>
        <v>#N/A</v>
      </c>
      <c r="F787" s="523" t="e">
        <f ca="1">IF(Errorhandling!$C$42,INDEX(Calc!$J$99:$J$109,MATCH(Display!B787,Calc!$K$99:$K$109,0),1),#N/A)</f>
        <v>#N/A</v>
      </c>
    </row>
    <row r="788" spans="2:6" x14ac:dyDescent="0.2">
      <c r="B788" s="6">
        <f t="shared" si="16"/>
        <v>785</v>
      </c>
      <c r="C788" s="81" t="e">
        <f ca="1">VLOOKUP(B788,Calc!$K$66:$L$76,2,FALSE)</f>
        <v>#N/A</v>
      </c>
      <c r="D788" s="81" t="e">
        <f ca="1">VLOOKUP(B788,Calc!$K$77:$L$87,2,FALSE)</f>
        <v>#N/A</v>
      </c>
      <c r="E788" s="523" t="e">
        <f ca="1">VLOOKUP(B788,Calc!$K$88:$L$98,2,FALSE)</f>
        <v>#N/A</v>
      </c>
      <c r="F788" s="523" t="e">
        <f ca="1">IF(Errorhandling!$C$42,INDEX(Calc!$J$99:$J$109,MATCH(Display!B788,Calc!$K$99:$K$109,0),1),#N/A)</f>
        <v>#N/A</v>
      </c>
    </row>
    <row r="789" spans="2:6" x14ac:dyDescent="0.2">
      <c r="B789" s="6">
        <f t="shared" si="16"/>
        <v>786</v>
      </c>
      <c r="C789" s="81" t="e">
        <f ca="1">VLOOKUP(B789,Calc!$K$66:$L$76,2,FALSE)</f>
        <v>#N/A</v>
      </c>
      <c r="D789" s="81" t="e">
        <f ca="1">VLOOKUP(B789,Calc!$K$77:$L$87,2,FALSE)</f>
        <v>#N/A</v>
      </c>
      <c r="E789" s="523" t="e">
        <f ca="1">VLOOKUP(B789,Calc!$K$88:$L$98,2,FALSE)</f>
        <v>#N/A</v>
      </c>
      <c r="F789" s="523" t="e">
        <f ca="1">IF(Errorhandling!$C$42,INDEX(Calc!$J$99:$J$109,MATCH(Display!B789,Calc!$K$99:$K$109,0),1),#N/A)</f>
        <v>#N/A</v>
      </c>
    </row>
    <row r="790" spans="2:6" x14ac:dyDescent="0.2">
      <c r="B790" s="6">
        <f t="shared" si="16"/>
        <v>787</v>
      </c>
      <c r="C790" s="81" t="e">
        <f ca="1">VLOOKUP(B790,Calc!$K$66:$L$76,2,FALSE)</f>
        <v>#N/A</v>
      </c>
      <c r="D790" s="81" t="e">
        <f ca="1">VLOOKUP(B790,Calc!$K$77:$L$87,2,FALSE)</f>
        <v>#N/A</v>
      </c>
      <c r="E790" s="523" t="e">
        <f ca="1">VLOOKUP(B790,Calc!$K$88:$L$98,2,FALSE)</f>
        <v>#N/A</v>
      </c>
      <c r="F790" s="523" t="e">
        <f ca="1">IF(Errorhandling!$C$42,INDEX(Calc!$J$99:$J$109,MATCH(Display!B790,Calc!$K$99:$K$109,0),1),#N/A)</f>
        <v>#N/A</v>
      </c>
    </row>
    <row r="791" spans="2:6" x14ac:dyDescent="0.2">
      <c r="B791" s="6">
        <f t="shared" si="16"/>
        <v>788</v>
      </c>
      <c r="C791" s="81" t="e">
        <f ca="1">VLOOKUP(B791,Calc!$K$66:$L$76,2,FALSE)</f>
        <v>#N/A</v>
      </c>
      <c r="D791" s="81" t="e">
        <f ca="1">VLOOKUP(B791,Calc!$K$77:$L$87,2,FALSE)</f>
        <v>#N/A</v>
      </c>
      <c r="E791" s="523" t="e">
        <f ca="1">VLOOKUP(B791,Calc!$K$88:$L$98,2,FALSE)</f>
        <v>#N/A</v>
      </c>
      <c r="F791" s="523" t="e">
        <f ca="1">IF(Errorhandling!$C$42,INDEX(Calc!$J$99:$J$109,MATCH(Display!B791,Calc!$K$99:$K$109,0),1),#N/A)</f>
        <v>#N/A</v>
      </c>
    </row>
    <row r="792" spans="2:6" x14ac:dyDescent="0.2">
      <c r="B792" s="6">
        <f t="shared" si="16"/>
        <v>789</v>
      </c>
      <c r="C792" s="81" t="e">
        <f ca="1">VLOOKUP(B792,Calc!$K$66:$L$76,2,FALSE)</f>
        <v>#N/A</v>
      </c>
      <c r="D792" s="81" t="e">
        <f ca="1">VLOOKUP(B792,Calc!$K$77:$L$87,2,FALSE)</f>
        <v>#N/A</v>
      </c>
      <c r="E792" s="523" t="e">
        <f ca="1">VLOOKUP(B792,Calc!$K$88:$L$98,2,FALSE)</f>
        <v>#N/A</v>
      </c>
      <c r="F792" s="523" t="e">
        <f ca="1">IF(Errorhandling!$C$42,INDEX(Calc!$J$99:$J$109,MATCH(Display!B792,Calc!$K$99:$K$109,0),1),#N/A)</f>
        <v>#N/A</v>
      </c>
    </row>
    <row r="793" spans="2:6" x14ac:dyDescent="0.2">
      <c r="B793" s="6">
        <f t="shared" si="16"/>
        <v>790</v>
      </c>
      <c r="C793" s="81" t="e">
        <f ca="1">VLOOKUP(B793,Calc!$K$66:$L$76,2,FALSE)</f>
        <v>#N/A</v>
      </c>
      <c r="D793" s="81" t="e">
        <f ca="1">VLOOKUP(B793,Calc!$K$77:$L$87,2,FALSE)</f>
        <v>#N/A</v>
      </c>
      <c r="E793" s="523" t="e">
        <f ca="1">VLOOKUP(B793,Calc!$K$88:$L$98,2,FALSE)</f>
        <v>#N/A</v>
      </c>
      <c r="F793" s="523" t="e">
        <f ca="1">IF(Errorhandling!$C$42,INDEX(Calc!$J$99:$J$109,MATCH(Display!B793,Calc!$K$99:$K$109,0),1),#N/A)</f>
        <v>#N/A</v>
      </c>
    </row>
    <row r="794" spans="2:6" x14ac:dyDescent="0.2">
      <c r="B794" s="6">
        <f t="shared" si="16"/>
        <v>791</v>
      </c>
      <c r="C794" s="81" t="e">
        <f ca="1">VLOOKUP(B794,Calc!$K$66:$L$76,2,FALSE)</f>
        <v>#N/A</v>
      </c>
      <c r="D794" s="81" t="e">
        <f ca="1">VLOOKUP(B794,Calc!$K$77:$L$87,2,FALSE)</f>
        <v>#N/A</v>
      </c>
      <c r="E794" s="523" t="e">
        <f ca="1">VLOOKUP(B794,Calc!$K$88:$L$98,2,FALSE)</f>
        <v>#N/A</v>
      </c>
      <c r="F794" s="523" t="e">
        <f ca="1">IF(Errorhandling!$C$42,INDEX(Calc!$J$99:$J$109,MATCH(Display!B794,Calc!$K$99:$K$109,0),1),#N/A)</f>
        <v>#N/A</v>
      </c>
    </row>
    <row r="795" spans="2:6" x14ac:dyDescent="0.2">
      <c r="B795" s="6">
        <f t="shared" si="16"/>
        <v>792</v>
      </c>
      <c r="C795" s="81" t="e">
        <f ca="1">VLOOKUP(B795,Calc!$K$66:$L$76,2,FALSE)</f>
        <v>#N/A</v>
      </c>
      <c r="D795" s="81" t="e">
        <f ca="1">VLOOKUP(B795,Calc!$K$77:$L$87,2,FALSE)</f>
        <v>#N/A</v>
      </c>
      <c r="E795" s="523" t="e">
        <f ca="1">VLOOKUP(B795,Calc!$K$88:$L$98,2,FALSE)</f>
        <v>#N/A</v>
      </c>
      <c r="F795" s="523" t="e">
        <f ca="1">IF(Errorhandling!$C$42,INDEX(Calc!$J$99:$J$109,MATCH(Display!B795,Calc!$K$99:$K$109,0),1),#N/A)</f>
        <v>#N/A</v>
      </c>
    </row>
    <row r="796" spans="2:6" x14ac:dyDescent="0.2">
      <c r="B796" s="6">
        <f t="shared" si="16"/>
        <v>793</v>
      </c>
      <c r="C796" s="81" t="e">
        <f ca="1">VLOOKUP(B796,Calc!$K$66:$L$76,2,FALSE)</f>
        <v>#N/A</v>
      </c>
      <c r="D796" s="81" t="e">
        <f ca="1">VLOOKUP(B796,Calc!$K$77:$L$87,2,FALSE)</f>
        <v>#N/A</v>
      </c>
      <c r="E796" s="523" t="e">
        <f ca="1">VLOOKUP(B796,Calc!$K$88:$L$98,2,FALSE)</f>
        <v>#N/A</v>
      </c>
      <c r="F796" s="523" t="e">
        <f ca="1">IF(Errorhandling!$C$42,INDEX(Calc!$J$99:$J$109,MATCH(Display!B796,Calc!$K$99:$K$109,0),1),#N/A)</f>
        <v>#N/A</v>
      </c>
    </row>
    <row r="797" spans="2:6" x14ac:dyDescent="0.2">
      <c r="B797" s="6">
        <f t="shared" si="16"/>
        <v>794</v>
      </c>
      <c r="C797" s="81" t="e">
        <f ca="1">VLOOKUP(B797,Calc!$K$66:$L$76,2,FALSE)</f>
        <v>#N/A</v>
      </c>
      <c r="D797" s="81" t="e">
        <f ca="1">VLOOKUP(B797,Calc!$K$77:$L$87,2,FALSE)</f>
        <v>#N/A</v>
      </c>
      <c r="E797" s="523" t="e">
        <f ca="1">VLOOKUP(B797,Calc!$K$88:$L$98,2,FALSE)</f>
        <v>#N/A</v>
      </c>
      <c r="F797" s="523" t="e">
        <f ca="1">IF(Errorhandling!$C$42,INDEX(Calc!$J$99:$J$109,MATCH(Display!B797,Calc!$K$99:$K$109,0),1),#N/A)</f>
        <v>#N/A</v>
      </c>
    </row>
    <row r="798" spans="2:6" x14ac:dyDescent="0.2">
      <c r="B798" s="6">
        <f t="shared" si="16"/>
        <v>795</v>
      </c>
      <c r="C798" s="81" t="e">
        <f ca="1">VLOOKUP(B798,Calc!$K$66:$L$76,2,FALSE)</f>
        <v>#N/A</v>
      </c>
      <c r="D798" s="81" t="e">
        <f ca="1">VLOOKUP(B798,Calc!$K$77:$L$87,2,FALSE)</f>
        <v>#N/A</v>
      </c>
      <c r="E798" s="523" t="e">
        <f ca="1">VLOOKUP(B798,Calc!$K$88:$L$98,2,FALSE)</f>
        <v>#N/A</v>
      </c>
      <c r="F798" s="523" t="e">
        <f ca="1">IF(Errorhandling!$C$42,INDEX(Calc!$J$99:$J$109,MATCH(Display!B798,Calc!$K$99:$K$109,0),1),#N/A)</f>
        <v>#N/A</v>
      </c>
    </row>
    <row r="799" spans="2:6" x14ac:dyDescent="0.2">
      <c r="B799" s="6">
        <f t="shared" si="16"/>
        <v>796</v>
      </c>
      <c r="C799" s="81" t="e">
        <f ca="1">VLOOKUP(B799,Calc!$K$66:$L$76,2,FALSE)</f>
        <v>#N/A</v>
      </c>
      <c r="D799" s="81" t="e">
        <f ca="1">VLOOKUP(B799,Calc!$K$77:$L$87,2,FALSE)</f>
        <v>#N/A</v>
      </c>
      <c r="E799" s="523" t="e">
        <f ca="1">VLOOKUP(B799,Calc!$K$88:$L$98,2,FALSE)</f>
        <v>#N/A</v>
      </c>
      <c r="F799" s="523" t="e">
        <f ca="1">IF(Errorhandling!$C$42,INDEX(Calc!$J$99:$J$109,MATCH(Display!B799,Calc!$K$99:$K$109,0),1),#N/A)</f>
        <v>#N/A</v>
      </c>
    </row>
    <row r="800" spans="2:6" x14ac:dyDescent="0.2">
      <c r="B800" s="6">
        <f t="shared" si="16"/>
        <v>797</v>
      </c>
      <c r="C800" s="81" t="e">
        <f ca="1">VLOOKUP(B800,Calc!$K$66:$L$76,2,FALSE)</f>
        <v>#N/A</v>
      </c>
      <c r="D800" s="81" t="e">
        <f ca="1">VLOOKUP(B800,Calc!$K$77:$L$87,2,FALSE)</f>
        <v>#N/A</v>
      </c>
      <c r="E800" s="523" t="e">
        <f ca="1">VLOOKUP(B800,Calc!$K$88:$L$98,2,FALSE)</f>
        <v>#N/A</v>
      </c>
      <c r="F800" s="523" t="e">
        <f ca="1">IF(Errorhandling!$C$42,INDEX(Calc!$J$99:$J$109,MATCH(Display!B800,Calc!$K$99:$K$109,0),1),#N/A)</f>
        <v>#N/A</v>
      </c>
    </row>
    <row r="801" spans="2:6" x14ac:dyDescent="0.2">
      <c r="B801" s="6">
        <f t="shared" si="16"/>
        <v>798</v>
      </c>
      <c r="C801" s="81" t="e">
        <f ca="1">VLOOKUP(B801,Calc!$K$66:$L$76,2,FALSE)</f>
        <v>#N/A</v>
      </c>
      <c r="D801" s="81" t="e">
        <f ca="1">VLOOKUP(B801,Calc!$K$77:$L$87,2,FALSE)</f>
        <v>#N/A</v>
      </c>
      <c r="E801" s="523" t="e">
        <f ca="1">VLOOKUP(B801,Calc!$K$88:$L$98,2,FALSE)</f>
        <v>#N/A</v>
      </c>
      <c r="F801" s="523" t="e">
        <f ca="1">IF(Errorhandling!$C$42,INDEX(Calc!$J$99:$J$109,MATCH(Display!B801,Calc!$K$99:$K$109,0),1),#N/A)</f>
        <v>#N/A</v>
      </c>
    </row>
    <row r="802" spans="2:6" x14ac:dyDescent="0.2">
      <c r="B802" s="6">
        <f t="shared" si="16"/>
        <v>799</v>
      </c>
      <c r="C802" s="81" t="e">
        <f ca="1">VLOOKUP(B802,Calc!$K$66:$L$76,2,FALSE)</f>
        <v>#N/A</v>
      </c>
      <c r="D802" s="81" t="e">
        <f ca="1">VLOOKUP(B802,Calc!$K$77:$L$87,2,FALSE)</f>
        <v>#N/A</v>
      </c>
      <c r="E802" s="523" t="e">
        <f ca="1">VLOOKUP(B802,Calc!$K$88:$L$98,2,FALSE)</f>
        <v>#N/A</v>
      </c>
      <c r="F802" s="523" t="e">
        <f ca="1">IF(Errorhandling!$C$42,INDEX(Calc!$J$99:$J$109,MATCH(Display!B802,Calc!$K$99:$K$109,0),1),#N/A)</f>
        <v>#N/A</v>
      </c>
    </row>
    <row r="803" spans="2:6" x14ac:dyDescent="0.2">
      <c r="B803" s="6">
        <f t="shared" si="16"/>
        <v>800</v>
      </c>
      <c r="C803" s="81" t="e">
        <f ca="1">VLOOKUP(B803,Calc!$K$66:$L$76,2,FALSE)</f>
        <v>#N/A</v>
      </c>
      <c r="D803" s="81" t="e">
        <f ca="1">VLOOKUP(B803,Calc!$K$77:$L$87,2,FALSE)</f>
        <v>#N/A</v>
      </c>
      <c r="E803" s="523" t="e">
        <f ca="1">VLOOKUP(B803,Calc!$K$88:$L$98,2,FALSE)</f>
        <v>#N/A</v>
      </c>
      <c r="F803" s="523" t="e">
        <f ca="1">IF(Errorhandling!$C$42,INDEX(Calc!$J$99:$J$109,MATCH(Display!B803,Calc!$K$99:$K$109,0),1),#N/A)</f>
        <v>#N/A</v>
      </c>
    </row>
    <row r="804" spans="2:6" x14ac:dyDescent="0.2">
      <c r="B804" s="6">
        <f t="shared" si="16"/>
        <v>801</v>
      </c>
      <c r="C804" s="81" t="e">
        <f ca="1">VLOOKUP(B804,Calc!$K$66:$L$76,2,FALSE)</f>
        <v>#N/A</v>
      </c>
      <c r="D804" s="81" t="e">
        <f ca="1">VLOOKUP(B804,Calc!$K$77:$L$87,2,FALSE)</f>
        <v>#N/A</v>
      </c>
      <c r="E804" s="523" t="e">
        <f ca="1">VLOOKUP(B804,Calc!$K$88:$L$98,2,FALSE)</f>
        <v>#N/A</v>
      </c>
      <c r="F804" s="523" t="e">
        <f ca="1">IF(Errorhandling!$C$42,INDEX(Calc!$J$99:$J$109,MATCH(Display!B804,Calc!$K$99:$K$109,0),1),#N/A)</f>
        <v>#N/A</v>
      </c>
    </row>
    <row r="805" spans="2:6" x14ac:dyDescent="0.2">
      <c r="B805" s="6">
        <f t="shared" si="16"/>
        <v>802</v>
      </c>
      <c r="C805" s="81" t="e">
        <f ca="1">VLOOKUP(B805,Calc!$K$66:$L$76,2,FALSE)</f>
        <v>#N/A</v>
      </c>
      <c r="D805" s="81" t="e">
        <f ca="1">VLOOKUP(B805,Calc!$K$77:$L$87,2,FALSE)</f>
        <v>#N/A</v>
      </c>
      <c r="E805" s="523" t="e">
        <f ca="1">VLOOKUP(B805,Calc!$K$88:$L$98,2,FALSE)</f>
        <v>#N/A</v>
      </c>
      <c r="F805" s="523" t="e">
        <f ca="1">IF(Errorhandling!$C$42,INDEX(Calc!$J$99:$J$109,MATCH(Display!B805,Calc!$K$99:$K$109,0),1),#N/A)</f>
        <v>#N/A</v>
      </c>
    </row>
    <row r="806" spans="2:6" x14ac:dyDescent="0.2">
      <c r="B806" s="6">
        <f t="shared" si="16"/>
        <v>803</v>
      </c>
      <c r="C806" s="81" t="e">
        <f ca="1">VLOOKUP(B806,Calc!$K$66:$L$76,2,FALSE)</f>
        <v>#N/A</v>
      </c>
      <c r="D806" s="81" t="e">
        <f ca="1">VLOOKUP(B806,Calc!$K$77:$L$87,2,FALSE)</f>
        <v>#N/A</v>
      </c>
      <c r="E806" s="523" t="e">
        <f ca="1">VLOOKUP(B806,Calc!$K$88:$L$98,2,FALSE)</f>
        <v>#N/A</v>
      </c>
      <c r="F806" s="523" t="e">
        <f ca="1">IF(Errorhandling!$C$42,INDEX(Calc!$J$99:$J$109,MATCH(Display!B806,Calc!$K$99:$K$109,0),1),#N/A)</f>
        <v>#N/A</v>
      </c>
    </row>
    <row r="807" spans="2:6" x14ac:dyDescent="0.2">
      <c r="B807" s="6">
        <f t="shared" si="16"/>
        <v>804</v>
      </c>
      <c r="C807" s="81" t="e">
        <f ca="1">VLOOKUP(B807,Calc!$K$66:$L$76,2,FALSE)</f>
        <v>#N/A</v>
      </c>
      <c r="D807" s="81" t="e">
        <f ca="1">VLOOKUP(B807,Calc!$K$77:$L$87,2,FALSE)</f>
        <v>#N/A</v>
      </c>
      <c r="E807" s="523" t="e">
        <f ca="1">VLOOKUP(B807,Calc!$K$88:$L$98,2,FALSE)</f>
        <v>#N/A</v>
      </c>
      <c r="F807" s="523" t="e">
        <f ca="1">IF(Errorhandling!$C$42,INDEX(Calc!$J$99:$J$109,MATCH(Display!B807,Calc!$K$99:$K$109,0),1),#N/A)</f>
        <v>#N/A</v>
      </c>
    </row>
    <row r="808" spans="2:6" x14ac:dyDescent="0.2">
      <c r="B808" s="6">
        <f t="shared" si="16"/>
        <v>805</v>
      </c>
      <c r="C808" s="81" t="e">
        <f ca="1">VLOOKUP(B808,Calc!$K$66:$L$76,2,FALSE)</f>
        <v>#N/A</v>
      </c>
      <c r="D808" s="81" t="e">
        <f ca="1">VLOOKUP(B808,Calc!$K$77:$L$87,2,FALSE)</f>
        <v>#N/A</v>
      </c>
      <c r="E808" s="523" t="e">
        <f ca="1">VLOOKUP(B808,Calc!$K$88:$L$98,2,FALSE)</f>
        <v>#N/A</v>
      </c>
      <c r="F808" s="523" t="e">
        <f ca="1">IF(Errorhandling!$C$42,INDEX(Calc!$J$99:$J$109,MATCH(Display!B808,Calc!$K$99:$K$109,0),1),#N/A)</f>
        <v>#N/A</v>
      </c>
    </row>
    <row r="809" spans="2:6" x14ac:dyDescent="0.2">
      <c r="B809" s="6">
        <f t="shared" si="16"/>
        <v>806</v>
      </c>
      <c r="C809" s="81" t="e">
        <f ca="1">VLOOKUP(B809,Calc!$K$66:$L$76,2,FALSE)</f>
        <v>#N/A</v>
      </c>
      <c r="D809" s="81" t="e">
        <f ca="1">VLOOKUP(B809,Calc!$K$77:$L$87,2,FALSE)</f>
        <v>#N/A</v>
      </c>
      <c r="E809" s="523" t="e">
        <f ca="1">VLOOKUP(B809,Calc!$K$88:$L$98,2,FALSE)</f>
        <v>#N/A</v>
      </c>
      <c r="F809" s="523" t="e">
        <f ca="1">IF(Errorhandling!$C$42,INDEX(Calc!$J$99:$J$109,MATCH(Display!B809,Calc!$K$99:$K$109,0),1),#N/A)</f>
        <v>#N/A</v>
      </c>
    </row>
    <row r="810" spans="2:6" x14ac:dyDescent="0.2">
      <c r="B810" s="6">
        <f t="shared" si="16"/>
        <v>807</v>
      </c>
      <c r="C810" s="81" t="e">
        <f ca="1">VLOOKUP(B810,Calc!$K$66:$L$76,2,FALSE)</f>
        <v>#N/A</v>
      </c>
      <c r="D810" s="81" t="e">
        <f ca="1">VLOOKUP(B810,Calc!$K$77:$L$87,2,FALSE)</f>
        <v>#N/A</v>
      </c>
      <c r="E810" s="523" t="e">
        <f ca="1">VLOOKUP(B810,Calc!$K$88:$L$98,2,FALSE)</f>
        <v>#N/A</v>
      </c>
      <c r="F810" s="523" t="e">
        <f ca="1">IF(Errorhandling!$C$42,INDEX(Calc!$J$99:$J$109,MATCH(Display!B810,Calc!$K$99:$K$109,0),1),#N/A)</f>
        <v>#N/A</v>
      </c>
    </row>
    <row r="811" spans="2:6" x14ac:dyDescent="0.2">
      <c r="B811" s="6">
        <f t="shared" si="16"/>
        <v>808</v>
      </c>
      <c r="C811" s="81" t="e">
        <f ca="1">VLOOKUP(B811,Calc!$K$66:$L$76,2,FALSE)</f>
        <v>#N/A</v>
      </c>
      <c r="D811" s="81" t="e">
        <f ca="1">VLOOKUP(B811,Calc!$K$77:$L$87,2,FALSE)</f>
        <v>#N/A</v>
      </c>
      <c r="E811" s="523" t="e">
        <f ca="1">VLOOKUP(B811,Calc!$K$88:$L$98,2,FALSE)</f>
        <v>#N/A</v>
      </c>
      <c r="F811" s="523" t="e">
        <f ca="1">IF(Errorhandling!$C$42,INDEX(Calc!$J$99:$J$109,MATCH(Display!B811,Calc!$K$99:$K$109,0),1),#N/A)</f>
        <v>#N/A</v>
      </c>
    </row>
    <row r="812" spans="2:6" x14ac:dyDescent="0.2">
      <c r="B812" s="6">
        <f t="shared" si="16"/>
        <v>809</v>
      </c>
      <c r="C812" s="81" t="e">
        <f ca="1">VLOOKUP(B812,Calc!$K$66:$L$76,2,FALSE)</f>
        <v>#N/A</v>
      </c>
      <c r="D812" s="81" t="e">
        <f ca="1">VLOOKUP(B812,Calc!$K$77:$L$87,2,FALSE)</f>
        <v>#N/A</v>
      </c>
      <c r="E812" s="523" t="e">
        <f ca="1">VLOOKUP(B812,Calc!$K$88:$L$98,2,FALSE)</f>
        <v>#N/A</v>
      </c>
      <c r="F812" s="523" t="e">
        <f ca="1">IF(Errorhandling!$C$42,INDEX(Calc!$J$99:$J$109,MATCH(Display!B812,Calc!$K$99:$K$109,0),1),#N/A)</f>
        <v>#N/A</v>
      </c>
    </row>
    <row r="813" spans="2:6" x14ac:dyDescent="0.2">
      <c r="B813" s="6">
        <f t="shared" si="16"/>
        <v>810</v>
      </c>
      <c r="C813" s="81" t="e">
        <f ca="1">VLOOKUP(B813,Calc!$K$66:$L$76,2,FALSE)</f>
        <v>#N/A</v>
      </c>
      <c r="D813" s="81" t="e">
        <f ca="1">VLOOKUP(B813,Calc!$K$77:$L$87,2,FALSE)</f>
        <v>#N/A</v>
      </c>
      <c r="E813" s="523" t="e">
        <f ca="1">VLOOKUP(B813,Calc!$K$88:$L$98,2,FALSE)</f>
        <v>#N/A</v>
      </c>
      <c r="F813" s="523" t="e">
        <f ca="1">IF(Errorhandling!$C$42,INDEX(Calc!$J$99:$J$109,MATCH(Display!B813,Calc!$K$99:$K$109,0),1),#N/A)</f>
        <v>#N/A</v>
      </c>
    </row>
    <row r="814" spans="2:6" x14ac:dyDescent="0.2">
      <c r="B814" s="6">
        <f t="shared" si="16"/>
        <v>811</v>
      </c>
      <c r="C814" s="81" t="e">
        <f ca="1">VLOOKUP(B814,Calc!$K$66:$L$76,2,FALSE)</f>
        <v>#N/A</v>
      </c>
      <c r="D814" s="81" t="e">
        <f ca="1">VLOOKUP(B814,Calc!$K$77:$L$87,2,FALSE)</f>
        <v>#N/A</v>
      </c>
      <c r="E814" s="523" t="e">
        <f ca="1">VLOOKUP(B814,Calc!$K$88:$L$98,2,FALSE)</f>
        <v>#N/A</v>
      </c>
      <c r="F814" s="523" t="e">
        <f ca="1">IF(Errorhandling!$C$42,INDEX(Calc!$J$99:$J$109,MATCH(Display!B814,Calc!$K$99:$K$109,0),1),#N/A)</f>
        <v>#N/A</v>
      </c>
    </row>
    <row r="815" spans="2:6" x14ac:dyDescent="0.2">
      <c r="B815" s="6">
        <f t="shared" si="16"/>
        <v>812</v>
      </c>
      <c r="C815" s="81" t="e">
        <f ca="1">VLOOKUP(B815,Calc!$K$66:$L$76,2,FALSE)</f>
        <v>#N/A</v>
      </c>
      <c r="D815" s="81" t="e">
        <f ca="1">VLOOKUP(B815,Calc!$K$77:$L$87,2,FALSE)</f>
        <v>#N/A</v>
      </c>
      <c r="E815" s="523" t="e">
        <f ca="1">VLOOKUP(B815,Calc!$K$88:$L$98,2,FALSE)</f>
        <v>#N/A</v>
      </c>
      <c r="F815" s="523" t="e">
        <f ca="1">IF(Errorhandling!$C$42,INDEX(Calc!$J$99:$J$109,MATCH(Display!B815,Calc!$K$99:$K$109,0),1),#N/A)</f>
        <v>#N/A</v>
      </c>
    </row>
    <row r="816" spans="2:6" x14ac:dyDescent="0.2">
      <c r="B816" s="6">
        <f t="shared" si="16"/>
        <v>813</v>
      </c>
      <c r="C816" s="81" t="e">
        <f ca="1">VLOOKUP(B816,Calc!$K$66:$L$76,2,FALSE)</f>
        <v>#N/A</v>
      </c>
      <c r="D816" s="81" t="e">
        <f ca="1">VLOOKUP(B816,Calc!$K$77:$L$87,2,FALSE)</f>
        <v>#N/A</v>
      </c>
      <c r="E816" s="523" t="e">
        <f ca="1">VLOOKUP(B816,Calc!$K$88:$L$98,2,FALSE)</f>
        <v>#N/A</v>
      </c>
      <c r="F816" s="523" t="e">
        <f ca="1">IF(Errorhandling!$C$42,INDEX(Calc!$J$99:$J$109,MATCH(Display!B816,Calc!$K$99:$K$109,0),1),#N/A)</f>
        <v>#N/A</v>
      </c>
    </row>
    <row r="817" spans="2:6" x14ac:dyDescent="0.2">
      <c r="B817" s="6">
        <f t="shared" si="16"/>
        <v>814</v>
      </c>
      <c r="C817" s="81" t="e">
        <f ca="1">VLOOKUP(B817,Calc!$K$66:$L$76,2,FALSE)</f>
        <v>#N/A</v>
      </c>
      <c r="D817" s="81" t="e">
        <f ca="1">VLOOKUP(B817,Calc!$K$77:$L$87,2,FALSE)</f>
        <v>#N/A</v>
      </c>
      <c r="E817" s="523" t="e">
        <f ca="1">VLOOKUP(B817,Calc!$K$88:$L$98,2,FALSE)</f>
        <v>#N/A</v>
      </c>
      <c r="F817" s="523" t="e">
        <f ca="1">IF(Errorhandling!$C$42,INDEX(Calc!$J$99:$J$109,MATCH(Display!B817,Calc!$K$99:$K$109,0),1),#N/A)</f>
        <v>#N/A</v>
      </c>
    </row>
    <row r="818" spans="2:6" x14ac:dyDescent="0.2">
      <c r="B818" s="6">
        <f t="shared" si="16"/>
        <v>815</v>
      </c>
      <c r="C818" s="81" t="e">
        <f ca="1">VLOOKUP(B818,Calc!$K$66:$L$76,2,FALSE)</f>
        <v>#N/A</v>
      </c>
      <c r="D818" s="81" t="e">
        <f ca="1">VLOOKUP(B818,Calc!$K$77:$L$87,2,FALSE)</f>
        <v>#N/A</v>
      </c>
      <c r="E818" s="523" t="e">
        <f ca="1">VLOOKUP(B818,Calc!$K$88:$L$98,2,FALSE)</f>
        <v>#N/A</v>
      </c>
      <c r="F818" s="523" t="e">
        <f ca="1">IF(Errorhandling!$C$42,INDEX(Calc!$J$99:$J$109,MATCH(Display!B818,Calc!$K$99:$K$109,0),1),#N/A)</f>
        <v>#N/A</v>
      </c>
    </row>
    <row r="819" spans="2:6" x14ac:dyDescent="0.2">
      <c r="B819" s="6">
        <f t="shared" si="16"/>
        <v>816</v>
      </c>
      <c r="C819" s="81" t="e">
        <f ca="1">VLOOKUP(B819,Calc!$K$66:$L$76,2,FALSE)</f>
        <v>#N/A</v>
      </c>
      <c r="D819" s="81" t="e">
        <f ca="1">VLOOKUP(B819,Calc!$K$77:$L$87,2,FALSE)</f>
        <v>#N/A</v>
      </c>
      <c r="E819" s="523" t="e">
        <f ca="1">VLOOKUP(B819,Calc!$K$88:$L$98,2,FALSE)</f>
        <v>#N/A</v>
      </c>
      <c r="F819" s="523" t="e">
        <f ca="1">IF(Errorhandling!$C$42,INDEX(Calc!$J$99:$J$109,MATCH(Display!B819,Calc!$K$99:$K$109,0),1),#N/A)</f>
        <v>#N/A</v>
      </c>
    </row>
    <row r="820" spans="2:6" x14ac:dyDescent="0.2">
      <c r="B820" s="6">
        <f t="shared" si="16"/>
        <v>817</v>
      </c>
      <c r="C820" s="81" t="e">
        <f ca="1">VLOOKUP(B820,Calc!$K$66:$L$76,2,FALSE)</f>
        <v>#N/A</v>
      </c>
      <c r="D820" s="81" t="e">
        <f ca="1">VLOOKUP(B820,Calc!$K$77:$L$87,2,FALSE)</f>
        <v>#N/A</v>
      </c>
      <c r="E820" s="523" t="e">
        <f ca="1">VLOOKUP(B820,Calc!$K$88:$L$98,2,FALSE)</f>
        <v>#N/A</v>
      </c>
      <c r="F820" s="523" t="e">
        <f ca="1">IF(Errorhandling!$C$42,INDEX(Calc!$J$99:$J$109,MATCH(Display!B820,Calc!$K$99:$K$109,0),1),#N/A)</f>
        <v>#N/A</v>
      </c>
    </row>
    <row r="821" spans="2:6" x14ac:dyDescent="0.2">
      <c r="B821" s="6">
        <f t="shared" si="16"/>
        <v>818</v>
      </c>
      <c r="C821" s="81" t="e">
        <f ca="1">VLOOKUP(B821,Calc!$K$66:$L$76,2,FALSE)</f>
        <v>#N/A</v>
      </c>
      <c r="D821" s="81" t="e">
        <f ca="1">VLOOKUP(B821,Calc!$K$77:$L$87,2,FALSE)</f>
        <v>#N/A</v>
      </c>
      <c r="E821" s="523" t="e">
        <f ca="1">VLOOKUP(B821,Calc!$K$88:$L$98,2,FALSE)</f>
        <v>#N/A</v>
      </c>
      <c r="F821" s="523" t="e">
        <f ca="1">IF(Errorhandling!$C$42,INDEX(Calc!$J$99:$J$109,MATCH(Display!B821,Calc!$K$99:$K$109,0),1),#N/A)</f>
        <v>#N/A</v>
      </c>
    </row>
    <row r="822" spans="2:6" x14ac:dyDescent="0.2">
      <c r="B822" s="6">
        <f t="shared" si="16"/>
        <v>819</v>
      </c>
      <c r="C822" s="81" t="e">
        <f ca="1">VLOOKUP(B822,Calc!$K$66:$L$76,2,FALSE)</f>
        <v>#N/A</v>
      </c>
      <c r="D822" s="81" t="e">
        <f ca="1">VLOOKUP(B822,Calc!$K$77:$L$87,2,FALSE)</f>
        <v>#N/A</v>
      </c>
      <c r="E822" s="523" t="e">
        <f ca="1">VLOOKUP(B822,Calc!$K$88:$L$98,2,FALSE)</f>
        <v>#N/A</v>
      </c>
      <c r="F822" s="523" t="e">
        <f ca="1">IF(Errorhandling!$C$42,INDEX(Calc!$J$99:$J$109,MATCH(Display!B822,Calc!$K$99:$K$109,0),1),#N/A)</f>
        <v>#N/A</v>
      </c>
    </row>
    <row r="823" spans="2:6" x14ac:dyDescent="0.2">
      <c r="B823" s="6">
        <f t="shared" si="16"/>
        <v>820</v>
      </c>
      <c r="C823" s="81" t="e">
        <f ca="1">VLOOKUP(B823,Calc!$K$66:$L$76,2,FALSE)</f>
        <v>#N/A</v>
      </c>
      <c r="D823" s="81" t="e">
        <f ca="1">VLOOKUP(B823,Calc!$K$77:$L$87,2,FALSE)</f>
        <v>#N/A</v>
      </c>
      <c r="E823" s="523" t="e">
        <f ca="1">VLOOKUP(B823,Calc!$K$88:$L$98,2,FALSE)</f>
        <v>#N/A</v>
      </c>
      <c r="F823" s="523" t="e">
        <f ca="1">IF(Errorhandling!$C$42,INDEX(Calc!$J$99:$J$109,MATCH(Display!B823,Calc!$K$99:$K$109,0),1),#N/A)</f>
        <v>#N/A</v>
      </c>
    </row>
    <row r="824" spans="2:6" x14ac:dyDescent="0.2">
      <c r="B824" s="6">
        <f t="shared" si="16"/>
        <v>821</v>
      </c>
      <c r="C824" s="81" t="e">
        <f ca="1">VLOOKUP(B824,Calc!$K$66:$L$76,2,FALSE)</f>
        <v>#N/A</v>
      </c>
      <c r="D824" s="81" t="e">
        <f ca="1">VLOOKUP(B824,Calc!$K$77:$L$87,2,FALSE)</f>
        <v>#N/A</v>
      </c>
      <c r="E824" s="523" t="e">
        <f ca="1">VLOOKUP(B824,Calc!$K$88:$L$98,2,FALSE)</f>
        <v>#N/A</v>
      </c>
      <c r="F824" s="523" t="e">
        <f ca="1">IF(Errorhandling!$C$42,INDEX(Calc!$J$99:$J$109,MATCH(Display!B824,Calc!$K$99:$K$109,0),1),#N/A)</f>
        <v>#N/A</v>
      </c>
    </row>
    <row r="825" spans="2:6" x14ac:dyDescent="0.2">
      <c r="B825" s="6">
        <f t="shared" si="16"/>
        <v>822</v>
      </c>
      <c r="C825" s="81" t="e">
        <f ca="1">VLOOKUP(B825,Calc!$K$66:$L$76,2,FALSE)</f>
        <v>#N/A</v>
      </c>
      <c r="D825" s="81" t="e">
        <f ca="1">VLOOKUP(B825,Calc!$K$77:$L$87,2,FALSE)</f>
        <v>#N/A</v>
      </c>
      <c r="E825" s="523" t="e">
        <f ca="1">VLOOKUP(B825,Calc!$K$88:$L$98,2,FALSE)</f>
        <v>#N/A</v>
      </c>
      <c r="F825" s="523" t="e">
        <f ca="1">IF(Errorhandling!$C$42,INDEX(Calc!$J$99:$J$109,MATCH(Display!B825,Calc!$K$99:$K$109,0),1),#N/A)</f>
        <v>#N/A</v>
      </c>
    </row>
    <row r="826" spans="2:6" x14ac:dyDescent="0.2">
      <c r="B826" s="6">
        <f t="shared" si="16"/>
        <v>823</v>
      </c>
      <c r="C826" s="81" t="e">
        <f ca="1">VLOOKUP(B826,Calc!$K$66:$L$76,2,FALSE)</f>
        <v>#N/A</v>
      </c>
      <c r="D826" s="81" t="e">
        <f ca="1">VLOOKUP(B826,Calc!$K$77:$L$87,2,FALSE)</f>
        <v>#N/A</v>
      </c>
      <c r="E826" s="523" t="e">
        <f ca="1">VLOOKUP(B826,Calc!$K$88:$L$98,2,FALSE)</f>
        <v>#N/A</v>
      </c>
      <c r="F826" s="523" t="e">
        <f ca="1">IF(Errorhandling!$C$42,INDEX(Calc!$J$99:$J$109,MATCH(Display!B826,Calc!$K$99:$K$109,0),1),#N/A)</f>
        <v>#N/A</v>
      </c>
    </row>
    <row r="827" spans="2:6" x14ac:dyDescent="0.2">
      <c r="B827" s="6">
        <f t="shared" si="16"/>
        <v>824</v>
      </c>
      <c r="C827" s="81" t="e">
        <f ca="1">VLOOKUP(B827,Calc!$K$66:$L$76,2,FALSE)</f>
        <v>#N/A</v>
      </c>
      <c r="D827" s="81" t="e">
        <f ca="1">VLOOKUP(B827,Calc!$K$77:$L$87,2,FALSE)</f>
        <v>#N/A</v>
      </c>
      <c r="E827" s="523" t="e">
        <f ca="1">VLOOKUP(B827,Calc!$K$88:$L$98,2,FALSE)</f>
        <v>#N/A</v>
      </c>
      <c r="F827" s="523" t="e">
        <f ca="1">IF(Errorhandling!$C$42,INDEX(Calc!$J$99:$J$109,MATCH(Display!B827,Calc!$K$99:$K$109,0),1),#N/A)</f>
        <v>#N/A</v>
      </c>
    </row>
    <row r="828" spans="2:6" x14ac:dyDescent="0.2">
      <c r="B828" s="6">
        <f t="shared" si="16"/>
        <v>825</v>
      </c>
      <c r="C828" s="81" t="e">
        <f ca="1">VLOOKUP(B828,Calc!$K$66:$L$76,2,FALSE)</f>
        <v>#N/A</v>
      </c>
      <c r="D828" s="81" t="e">
        <f ca="1">VLOOKUP(B828,Calc!$K$77:$L$87,2,FALSE)</f>
        <v>#N/A</v>
      </c>
      <c r="E828" s="523" t="e">
        <f ca="1">VLOOKUP(B828,Calc!$K$88:$L$98,2,FALSE)</f>
        <v>#N/A</v>
      </c>
      <c r="F828" s="523" t="e">
        <f ca="1">IF(Errorhandling!$C$42,INDEX(Calc!$J$99:$J$109,MATCH(Display!B828,Calc!$K$99:$K$109,0),1),#N/A)</f>
        <v>#N/A</v>
      </c>
    </row>
    <row r="829" spans="2:6" x14ac:dyDescent="0.2">
      <c r="B829" s="6">
        <f t="shared" si="16"/>
        <v>826</v>
      </c>
      <c r="C829" s="81" t="e">
        <f ca="1">VLOOKUP(B829,Calc!$K$66:$L$76,2,FALSE)</f>
        <v>#N/A</v>
      </c>
      <c r="D829" s="81" t="e">
        <f ca="1">VLOOKUP(B829,Calc!$K$77:$L$87,2,FALSE)</f>
        <v>#N/A</v>
      </c>
      <c r="E829" s="523" t="e">
        <f ca="1">VLOOKUP(B829,Calc!$K$88:$L$98,2,FALSE)</f>
        <v>#N/A</v>
      </c>
      <c r="F829" s="523" t="e">
        <f ca="1">IF(Errorhandling!$C$42,INDEX(Calc!$J$99:$J$109,MATCH(Display!B829,Calc!$K$99:$K$109,0),1),#N/A)</f>
        <v>#N/A</v>
      </c>
    </row>
    <row r="830" spans="2:6" x14ac:dyDescent="0.2">
      <c r="B830" s="6">
        <f t="shared" si="16"/>
        <v>827</v>
      </c>
      <c r="C830" s="81" t="e">
        <f ca="1">VLOOKUP(B830,Calc!$K$66:$L$76,2,FALSE)</f>
        <v>#N/A</v>
      </c>
      <c r="D830" s="81" t="e">
        <f ca="1">VLOOKUP(B830,Calc!$K$77:$L$87,2,FALSE)</f>
        <v>#N/A</v>
      </c>
      <c r="E830" s="523" t="e">
        <f ca="1">VLOOKUP(B830,Calc!$K$88:$L$98,2,FALSE)</f>
        <v>#N/A</v>
      </c>
      <c r="F830" s="523" t="e">
        <f ca="1">IF(Errorhandling!$C$42,INDEX(Calc!$J$99:$J$109,MATCH(Display!B830,Calc!$K$99:$K$109,0),1),#N/A)</f>
        <v>#N/A</v>
      </c>
    </row>
    <row r="831" spans="2:6" x14ac:dyDescent="0.2">
      <c r="B831" s="6">
        <f t="shared" si="16"/>
        <v>828</v>
      </c>
      <c r="C831" s="81" t="e">
        <f ca="1">VLOOKUP(B831,Calc!$K$66:$L$76,2,FALSE)</f>
        <v>#N/A</v>
      </c>
      <c r="D831" s="81" t="e">
        <f ca="1">VLOOKUP(B831,Calc!$K$77:$L$87,2,FALSE)</f>
        <v>#N/A</v>
      </c>
      <c r="E831" s="523" t="e">
        <f ca="1">VLOOKUP(B831,Calc!$K$88:$L$98,2,FALSE)</f>
        <v>#N/A</v>
      </c>
      <c r="F831" s="523" t="e">
        <f ca="1">IF(Errorhandling!$C$42,INDEX(Calc!$J$99:$J$109,MATCH(Display!B831,Calc!$K$99:$K$109,0),1),#N/A)</f>
        <v>#N/A</v>
      </c>
    </row>
    <row r="832" spans="2:6" x14ac:dyDescent="0.2">
      <c r="B832" s="6">
        <f t="shared" si="16"/>
        <v>829</v>
      </c>
      <c r="C832" s="81" t="e">
        <f ca="1">VLOOKUP(B832,Calc!$K$66:$L$76,2,FALSE)</f>
        <v>#N/A</v>
      </c>
      <c r="D832" s="81" t="e">
        <f ca="1">VLOOKUP(B832,Calc!$K$77:$L$87,2,FALSE)</f>
        <v>#N/A</v>
      </c>
      <c r="E832" s="523" t="e">
        <f ca="1">VLOOKUP(B832,Calc!$K$88:$L$98,2,FALSE)</f>
        <v>#N/A</v>
      </c>
      <c r="F832" s="523" t="e">
        <f ca="1">IF(Errorhandling!$C$42,INDEX(Calc!$J$99:$J$109,MATCH(Display!B832,Calc!$K$99:$K$109,0),1),#N/A)</f>
        <v>#N/A</v>
      </c>
    </row>
    <row r="833" spans="2:6" x14ac:dyDescent="0.2">
      <c r="B833" s="6">
        <f t="shared" si="16"/>
        <v>830</v>
      </c>
      <c r="C833" s="81" t="e">
        <f ca="1">VLOOKUP(B833,Calc!$K$66:$L$76,2,FALSE)</f>
        <v>#N/A</v>
      </c>
      <c r="D833" s="81" t="e">
        <f ca="1">VLOOKUP(B833,Calc!$K$77:$L$87,2,FALSE)</f>
        <v>#N/A</v>
      </c>
      <c r="E833" s="523" t="e">
        <f ca="1">VLOOKUP(B833,Calc!$K$88:$L$98,2,FALSE)</f>
        <v>#N/A</v>
      </c>
      <c r="F833" s="523" t="e">
        <f ca="1">IF(Errorhandling!$C$42,INDEX(Calc!$J$99:$J$109,MATCH(Display!B833,Calc!$K$99:$K$109,0),1),#N/A)</f>
        <v>#N/A</v>
      </c>
    </row>
    <row r="834" spans="2:6" x14ac:dyDescent="0.2">
      <c r="B834" s="6">
        <f t="shared" si="16"/>
        <v>831</v>
      </c>
      <c r="C834" s="81" t="e">
        <f ca="1">VLOOKUP(B834,Calc!$K$66:$L$76,2,FALSE)</f>
        <v>#N/A</v>
      </c>
      <c r="D834" s="81" t="e">
        <f ca="1">VLOOKUP(B834,Calc!$K$77:$L$87,2,FALSE)</f>
        <v>#N/A</v>
      </c>
      <c r="E834" s="523" t="e">
        <f ca="1">VLOOKUP(B834,Calc!$K$88:$L$98,2,FALSE)</f>
        <v>#N/A</v>
      </c>
      <c r="F834" s="523" t="e">
        <f ca="1">IF(Errorhandling!$C$42,INDEX(Calc!$J$99:$J$109,MATCH(Display!B834,Calc!$K$99:$K$109,0),1),#N/A)</f>
        <v>#N/A</v>
      </c>
    </row>
    <row r="835" spans="2:6" x14ac:dyDescent="0.2">
      <c r="B835" s="6">
        <f t="shared" si="16"/>
        <v>832</v>
      </c>
      <c r="C835" s="81" t="e">
        <f ca="1">VLOOKUP(B835,Calc!$K$66:$L$76,2,FALSE)</f>
        <v>#N/A</v>
      </c>
      <c r="D835" s="81" t="e">
        <f ca="1">VLOOKUP(B835,Calc!$K$77:$L$87,2,FALSE)</f>
        <v>#N/A</v>
      </c>
      <c r="E835" s="523" t="e">
        <f ca="1">VLOOKUP(B835,Calc!$K$88:$L$98,2,FALSE)</f>
        <v>#N/A</v>
      </c>
      <c r="F835" s="523" t="e">
        <f ca="1">IF(Errorhandling!$C$42,INDEX(Calc!$J$99:$J$109,MATCH(Display!B835,Calc!$K$99:$K$109,0),1),#N/A)</f>
        <v>#N/A</v>
      </c>
    </row>
    <row r="836" spans="2:6" x14ac:dyDescent="0.2">
      <c r="B836" s="6">
        <f t="shared" si="16"/>
        <v>833</v>
      </c>
      <c r="C836" s="81" t="e">
        <f ca="1">VLOOKUP(B836,Calc!$K$66:$L$76,2,FALSE)</f>
        <v>#N/A</v>
      </c>
      <c r="D836" s="81" t="e">
        <f ca="1">VLOOKUP(B836,Calc!$K$77:$L$87,2,FALSE)</f>
        <v>#N/A</v>
      </c>
      <c r="E836" s="523" t="e">
        <f ca="1">VLOOKUP(B836,Calc!$K$88:$L$98,2,FALSE)</f>
        <v>#N/A</v>
      </c>
      <c r="F836" s="523" t="e">
        <f ca="1">IF(Errorhandling!$C$42,INDEX(Calc!$J$99:$J$109,MATCH(Display!B836,Calc!$K$99:$K$109,0),1),#N/A)</f>
        <v>#N/A</v>
      </c>
    </row>
    <row r="837" spans="2:6" x14ac:dyDescent="0.2">
      <c r="B837" s="6">
        <f t="shared" si="16"/>
        <v>834</v>
      </c>
      <c r="C837" s="81" t="e">
        <f ca="1">VLOOKUP(B837,Calc!$K$66:$L$76,2,FALSE)</f>
        <v>#N/A</v>
      </c>
      <c r="D837" s="81" t="e">
        <f ca="1">VLOOKUP(B837,Calc!$K$77:$L$87,2,FALSE)</f>
        <v>#N/A</v>
      </c>
      <c r="E837" s="523" t="e">
        <f ca="1">VLOOKUP(B837,Calc!$K$88:$L$98,2,FALSE)</f>
        <v>#N/A</v>
      </c>
      <c r="F837" s="523" t="e">
        <f ca="1">IF(Errorhandling!$C$42,INDEX(Calc!$J$99:$J$109,MATCH(Display!B837,Calc!$K$99:$K$109,0),1),#N/A)</f>
        <v>#N/A</v>
      </c>
    </row>
    <row r="838" spans="2:6" x14ac:dyDescent="0.2">
      <c r="B838" s="6">
        <f t="shared" si="16"/>
        <v>835</v>
      </c>
      <c r="C838" s="81" t="e">
        <f ca="1">VLOOKUP(B838,Calc!$K$66:$L$76,2,FALSE)</f>
        <v>#N/A</v>
      </c>
      <c r="D838" s="81" t="e">
        <f ca="1">VLOOKUP(B838,Calc!$K$77:$L$87,2,FALSE)</f>
        <v>#N/A</v>
      </c>
      <c r="E838" s="523" t="e">
        <f ca="1">VLOOKUP(B838,Calc!$K$88:$L$98,2,FALSE)</f>
        <v>#N/A</v>
      </c>
      <c r="F838" s="523" t="e">
        <f ca="1">IF(Errorhandling!$C$42,INDEX(Calc!$J$99:$J$109,MATCH(Display!B838,Calc!$K$99:$K$109,0),1),#N/A)</f>
        <v>#N/A</v>
      </c>
    </row>
    <row r="839" spans="2:6" x14ac:dyDescent="0.2">
      <c r="B839" s="6">
        <f t="shared" ref="B839:B902" si="17">1+B838</f>
        <v>836</v>
      </c>
      <c r="C839" s="81" t="e">
        <f ca="1">VLOOKUP(B839,Calc!$K$66:$L$76,2,FALSE)</f>
        <v>#N/A</v>
      </c>
      <c r="D839" s="81" t="e">
        <f ca="1">VLOOKUP(B839,Calc!$K$77:$L$87,2,FALSE)</f>
        <v>#N/A</v>
      </c>
      <c r="E839" s="523" t="e">
        <f ca="1">VLOOKUP(B839,Calc!$K$88:$L$98,2,FALSE)</f>
        <v>#N/A</v>
      </c>
      <c r="F839" s="523" t="e">
        <f ca="1">IF(Errorhandling!$C$42,INDEX(Calc!$J$99:$J$109,MATCH(Display!B839,Calc!$K$99:$K$109,0),1),#N/A)</f>
        <v>#N/A</v>
      </c>
    </row>
    <row r="840" spans="2:6" x14ac:dyDescent="0.2">
      <c r="B840" s="6">
        <f t="shared" si="17"/>
        <v>837</v>
      </c>
      <c r="C840" s="81" t="e">
        <f ca="1">VLOOKUP(B840,Calc!$K$66:$L$76,2,FALSE)</f>
        <v>#N/A</v>
      </c>
      <c r="D840" s="81" t="e">
        <f ca="1">VLOOKUP(B840,Calc!$K$77:$L$87,2,FALSE)</f>
        <v>#N/A</v>
      </c>
      <c r="E840" s="523" t="e">
        <f ca="1">VLOOKUP(B840,Calc!$K$88:$L$98,2,FALSE)</f>
        <v>#N/A</v>
      </c>
      <c r="F840" s="523" t="e">
        <f ca="1">IF(Errorhandling!$C$42,INDEX(Calc!$J$99:$J$109,MATCH(Display!B840,Calc!$K$99:$K$109,0),1),#N/A)</f>
        <v>#N/A</v>
      </c>
    </row>
    <row r="841" spans="2:6" x14ac:dyDescent="0.2">
      <c r="B841" s="6">
        <f t="shared" si="17"/>
        <v>838</v>
      </c>
      <c r="C841" s="81" t="e">
        <f ca="1">VLOOKUP(B841,Calc!$K$66:$L$76,2,FALSE)</f>
        <v>#N/A</v>
      </c>
      <c r="D841" s="81" t="e">
        <f ca="1">VLOOKUP(B841,Calc!$K$77:$L$87,2,FALSE)</f>
        <v>#N/A</v>
      </c>
      <c r="E841" s="523" t="e">
        <f ca="1">VLOOKUP(B841,Calc!$K$88:$L$98,2,FALSE)</f>
        <v>#N/A</v>
      </c>
      <c r="F841" s="523" t="e">
        <f ca="1">IF(Errorhandling!$C$42,INDEX(Calc!$J$99:$J$109,MATCH(Display!B841,Calc!$K$99:$K$109,0),1),#N/A)</f>
        <v>#N/A</v>
      </c>
    </row>
    <row r="842" spans="2:6" x14ac:dyDescent="0.2">
      <c r="B842" s="6">
        <f t="shared" si="17"/>
        <v>839</v>
      </c>
      <c r="C842" s="81" t="e">
        <f ca="1">VLOOKUP(B842,Calc!$K$66:$L$76,2,FALSE)</f>
        <v>#N/A</v>
      </c>
      <c r="D842" s="81" t="e">
        <f ca="1">VLOOKUP(B842,Calc!$K$77:$L$87,2,FALSE)</f>
        <v>#N/A</v>
      </c>
      <c r="E842" s="523" t="e">
        <f ca="1">VLOOKUP(B842,Calc!$K$88:$L$98,2,FALSE)</f>
        <v>#N/A</v>
      </c>
      <c r="F842" s="523" t="e">
        <f ca="1">IF(Errorhandling!$C$42,INDEX(Calc!$J$99:$J$109,MATCH(Display!B842,Calc!$K$99:$K$109,0),1),#N/A)</f>
        <v>#N/A</v>
      </c>
    </row>
    <row r="843" spans="2:6" x14ac:dyDescent="0.2">
      <c r="B843" s="6">
        <f t="shared" si="17"/>
        <v>840</v>
      </c>
      <c r="C843" s="81" t="e">
        <f ca="1">VLOOKUP(B843,Calc!$K$66:$L$76,2,FALSE)</f>
        <v>#N/A</v>
      </c>
      <c r="D843" s="81" t="e">
        <f ca="1">VLOOKUP(B843,Calc!$K$77:$L$87,2,FALSE)</f>
        <v>#N/A</v>
      </c>
      <c r="E843" s="523" t="e">
        <f ca="1">VLOOKUP(B843,Calc!$K$88:$L$98,2,FALSE)</f>
        <v>#N/A</v>
      </c>
      <c r="F843" s="523" t="e">
        <f ca="1">IF(Errorhandling!$C$42,INDEX(Calc!$J$99:$J$109,MATCH(Display!B843,Calc!$K$99:$K$109,0),1),#N/A)</f>
        <v>#N/A</v>
      </c>
    </row>
    <row r="844" spans="2:6" x14ac:dyDescent="0.2">
      <c r="B844" s="6">
        <f t="shared" si="17"/>
        <v>841</v>
      </c>
      <c r="C844" s="81" t="e">
        <f ca="1">VLOOKUP(B844,Calc!$K$66:$L$76,2,FALSE)</f>
        <v>#N/A</v>
      </c>
      <c r="D844" s="81" t="e">
        <f ca="1">VLOOKUP(B844,Calc!$K$77:$L$87,2,FALSE)</f>
        <v>#N/A</v>
      </c>
      <c r="E844" s="523" t="e">
        <f ca="1">VLOOKUP(B844,Calc!$K$88:$L$98,2,FALSE)</f>
        <v>#N/A</v>
      </c>
      <c r="F844" s="523" t="e">
        <f ca="1">IF(Errorhandling!$C$42,INDEX(Calc!$J$99:$J$109,MATCH(Display!B844,Calc!$K$99:$K$109,0),1),#N/A)</f>
        <v>#N/A</v>
      </c>
    </row>
    <row r="845" spans="2:6" x14ac:dyDescent="0.2">
      <c r="B845" s="6">
        <f t="shared" si="17"/>
        <v>842</v>
      </c>
      <c r="C845" s="81" t="e">
        <f ca="1">VLOOKUP(B845,Calc!$K$66:$L$76,2,FALSE)</f>
        <v>#N/A</v>
      </c>
      <c r="D845" s="81" t="e">
        <f ca="1">VLOOKUP(B845,Calc!$K$77:$L$87,2,FALSE)</f>
        <v>#N/A</v>
      </c>
      <c r="E845" s="523" t="e">
        <f ca="1">VLOOKUP(B845,Calc!$K$88:$L$98,2,FALSE)</f>
        <v>#N/A</v>
      </c>
      <c r="F845" s="523" t="e">
        <f ca="1">IF(Errorhandling!$C$42,INDEX(Calc!$J$99:$J$109,MATCH(Display!B845,Calc!$K$99:$K$109,0),1),#N/A)</f>
        <v>#N/A</v>
      </c>
    </row>
    <row r="846" spans="2:6" x14ac:dyDescent="0.2">
      <c r="B846" s="6">
        <f t="shared" si="17"/>
        <v>843</v>
      </c>
      <c r="C846" s="81" t="e">
        <f ca="1">VLOOKUP(B846,Calc!$K$66:$L$76,2,FALSE)</f>
        <v>#N/A</v>
      </c>
      <c r="D846" s="81" t="e">
        <f ca="1">VLOOKUP(B846,Calc!$K$77:$L$87,2,FALSE)</f>
        <v>#N/A</v>
      </c>
      <c r="E846" s="523" t="e">
        <f ca="1">VLOOKUP(B846,Calc!$K$88:$L$98,2,FALSE)</f>
        <v>#N/A</v>
      </c>
      <c r="F846" s="523" t="e">
        <f ca="1">IF(Errorhandling!$C$42,INDEX(Calc!$J$99:$J$109,MATCH(Display!B846,Calc!$K$99:$K$109,0),1),#N/A)</f>
        <v>#N/A</v>
      </c>
    </row>
    <row r="847" spans="2:6" x14ac:dyDescent="0.2">
      <c r="B847" s="6">
        <f t="shared" si="17"/>
        <v>844</v>
      </c>
      <c r="C847" s="81" t="e">
        <f ca="1">VLOOKUP(B847,Calc!$K$66:$L$76,2,FALSE)</f>
        <v>#N/A</v>
      </c>
      <c r="D847" s="81" t="e">
        <f ca="1">VLOOKUP(B847,Calc!$K$77:$L$87,2,FALSE)</f>
        <v>#N/A</v>
      </c>
      <c r="E847" s="523" t="e">
        <f ca="1">VLOOKUP(B847,Calc!$K$88:$L$98,2,FALSE)</f>
        <v>#N/A</v>
      </c>
      <c r="F847" s="523" t="e">
        <f ca="1">IF(Errorhandling!$C$42,INDEX(Calc!$J$99:$J$109,MATCH(Display!B847,Calc!$K$99:$K$109,0),1),#N/A)</f>
        <v>#N/A</v>
      </c>
    </row>
    <row r="848" spans="2:6" x14ac:dyDescent="0.2">
      <c r="B848" s="6">
        <f t="shared" si="17"/>
        <v>845</v>
      </c>
      <c r="C848" s="81" t="e">
        <f ca="1">VLOOKUP(B848,Calc!$K$66:$L$76,2,FALSE)</f>
        <v>#N/A</v>
      </c>
      <c r="D848" s="81" t="e">
        <f ca="1">VLOOKUP(B848,Calc!$K$77:$L$87,2,FALSE)</f>
        <v>#N/A</v>
      </c>
      <c r="E848" s="523" t="e">
        <f ca="1">VLOOKUP(B848,Calc!$K$88:$L$98,2,FALSE)</f>
        <v>#N/A</v>
      </c>
      <c r="F848" s="523" t="e">
        <f ca="1">IF(Errorhandling!$C$42,INDEX(Calc!$J$99:$J$109,MATCH(Display!B848,Calc!$K$99:$K$109,0),1),#N/A)</f>
        <v>#N/A</v>
      </c>
    </row>
    <row r="849" spans="2:6" x14ac:dyDescent="0.2">
      <c r="B849" s="6">
        <f t="shared" si="17"/>
        <v>846</v>
      </c>
      <c r="C849" s="81" t="e">
        <f ca="1">VLOOKUP(B849,Calc!$K$66:$L$76,2,FALSE)</f>
        <v>#N/A</v>
      </c>
      <c r="D849" s="81" t="e">
        <f ca="1">VLOOKUP(B849,Calc!$K$77:$L$87,2,FALSE)</f>
        <v>#N/A</v>
      </c>
      <c r="E849" s="523" t="e">
        <f ca="1">VLOOKUP(B849,Calc!$K$88:$L$98,2,FALSE)</f>
        <v>#N/A</v>
      </c>
      <c r="F849" s="523" t="e">
        <f ca="1">IF(Errorhandling!$C$42,INDEX(Calc!$J$99:$J$109,MATCH(Display!B849,Calc!$K$99:$K$109,0),1),#N/A)</f>
        <v>#N/A</v>
      </c>
    </row>
    <row r="850" spans="2:6" x14ac:dyDescent="0.2">
      <c r="B850" s="6">
        <f t="shared" si="17"/>
        <v>847</v>
      </c>
      <c r="C850" s="81" t="e">
        <f ca="1">VLOOKUP(B850,Calc!$K$66:$L$76,2,FALSE)</f>
        <v>#N/A</v>
      </c>
      <c r="D850" s="81" t="e">
        <f ca="1">VLOOKUP(B850,Calc!$K$77:$L$87,2,FALSE)</f>
        <v>#N/A</v>
      </c>
      <c r="E850" s="523" t="e">
        <f ca="1">VLOOKUP(B850,Calc!$K$88:$L$98,2,FALSE)</f>
        <v>#N/A</v>
      </c>
      <c r="F850" s="523" t="e">
        <f ca="1">IF(Errorhandling!$C$42,INDEX(Calc!$J$99:$J$109,MATCH(Display!B850,Calc!$K$99:$K$109,0),1),#N/A)</f>
        <v>#N/A</v>
      </c>
    </row>
    <row r="851" spans="2:6" x14ac:dyDescent="0.2">
      <c r="B851" s="6">
        <f t="shared" si="17"/>
        <v>848</v>
      </c>
      <c r="C851" s="81" t="e">
        <f ca="1">VLOOKUP(B851,Calc!$K$66:$L$76,2,FALSE)</f>
        <v>#N/A</v>
      </c>
      <c r="D851" s="81" t="e">
        <f ca="1">VLOOKUP(B851,Calc!$K$77:$L$87,2,FALSE)</f>
        <v>#N/A</v>
      </c>
      <c r="E851" s="523" t="e">
        <f ca="1">VLOOKUP(B851,Calc!$K$88:$L$98,2,FALSE)</f>
        <v>#N/A</v>
      </c>
      <c r="F851" s="523" t="e">
        <f ca="1">IF(Errorhandling!$C$42,INDEX(Calc!$J$99:$J$109,MATCH(Display!B851,Calc!$K$99:$K$109,0),1),#N/A)</f>
        <v>#N/A</v>
      </c>
    </row>
    <row r="852" spans="2:6" x14ac:dyDescent="0.2">
      <c r="B852" s="6">
        <f t="shared" si="17"/>
        <v>849</v>
      </c>
      <c r="C852" s="81" t="e">
        <f ca="1">VLOOKUP(B852,Calc!$K$66:$L$76,2,FALSE)</f>
        <v>#N/A</v>
      </c>
      <c r="D852" s="81" t="e">
        <f ca="1">VLOOKUP(B852,Calc!$K$77:$L$87,2,FALSE)</f>
        <v>#N/A</v>
      </c>
      <c r="E852" s="523" t="e">
        <f ca="1">VLOOKUP(B852,Calc!$K$88:$L$98,2,FALSE)</f>
        <v>#N/A</v>
      </c>
      <c r="F852" s="523" t="e">
        <f ca="1">IF(Errorhandling!$C$42,INDEX(Calc!$J$99:$J$109,MATCH(Display!B852,Calc!$K$99:$K$109,0),1),#N/A)</f>
        <v>#N/A</v>
      </c>
    </row>
    <row r="853" spans="2:6" x14ac:dyDescent="0.2">
      <c r="B853" s="6">
        <f t="shared" si="17"/>
        <v>850</v>
      </c>
      <c r="C853" s="81" t="e">
        <f ca="1">VLOOKUP(B853,Calc!$K$66:$L$76,2,FALSE)</f>
        <v>#N/A</v>
      </c>
      <c r="D853" s="81" t="e">
        <f ca="1">VLOOKUP(B853,Calc!$K$77:$L$87,2,FALSE)</f>
        <v>#N/A</v>
      </c>
      <c r="E853" s="523" t="e">
        <f ca="1">VLOOKUP(B853,Calc!$K$88:$L$98,2,FALSE)</f>
        <v>#N/A</v>
      </c>
      <c r="F853" s="523" t="e">
        <f ca="1">IF(Errorhandling!$C$42,INDEX(Calc!$J$99:$J$109,MATCH(Display!B853,Calc!$K$99:$K$109,0),1),#N/A)</f>
        <v>#N/A</v>
      </c>
    </row>
    <row r="854" spans="2:6" x14ac:dyDescent="0.2">
      <c r="B854" s="6">
        <f t="shared" si="17"/>
        <v>851</v>
      </c>
      <c r="C854" s="81" t="e">
        <f ca="1">VLOOKUP(B854,Calc!$K$66:$L$76,2,FALSE)</f>
        <v>#N/A</v>
      </c>
      <c r="D854" s="81" t="e">
        <f ca="1">VLOOKUP(B854,Calc!$K$77:$L$87,2,FALSE)</f>
        <v>#N/A</v>
      </c>
      <c r="E854" s="523" t="e">
        <f ca="1">VLOOKUP(B854,Calc!$K$88:$L$98,2,FALSE)</f>
        <v>#N/A</v>
      </c>
      <c r="F854" s="523" t="e">
        <f ca="1">IF(Errorhandling!$C$42,INDEX(Calc!$J$99:$J$109,MATCH(Display!B854,Calc!$K$99:$K$109,0),1),#N/A)</f>
        <v>#N/A</v>
      </c>
    </row>
    <row r="855" spans="2:6" x14ac:dyDescent="0.2">
      <c r="B855" s="6">
        <f t="shared" si="17"/>
        <v>852</v>
      </c>
      <c r="C855" s="81" t="e">
        <f ca="1">VLOOKUP(B855,Calc!$K$66:$L$76,2,FALSE)</f>
        <v>#N/A</v>
      </c>
      <c r="D855" s="81" t="e">
        <f ca="1">VLOOKUP(B855,Calc!$K$77:$L$87,2,FALSE)</f>
        <v>#N/A</v>
      </c>
      <c r="E855" s="523" t="e">
        <f ca="1">VLOOKUP(B855,Calc!$K$88:$L$98,2,FALSE)</f>
        <v>#N/A</v>
      </c>
      <c r="F855" s="523" t="e">
        <f ca="1">IF(Errorhandling!$C$42,INDEX(Calc!$J$99:$J$109,MATCH(Display!B855,Calc!$K$99:$K$109,0),1),#N/A)</f>
        <v>#N/A</v>
      </c>
    </row>
    <row r="856" spans="2:6" x14ac:dyDescent="0.2">
      <c r="B856" s="6">
        <f t="shared" si="17"/>
        <v>853</v>
      </c>
      <c r="C856" s="81" t="e">
        <f ca="1">VLOOKUP(B856,Calc!$K$66:$L$76,2,FALSE)</f>
        <v>#N/A</v>
      </c>
      <c r="D856" s="81" t="e">
        <f ca="1">VLOOKUP(B856,Calc!$K$77:$L$87,2,FALSE)</f>
        <v>#N/A</v>
      </c>
      <c r="E856" s="523" t="e">
        <f ca="1">VLOOKUP(B856,Calc!$K$88:$L$98,2,FALSE)</f>
        <v>#N/A</v>
      </c>
      <c r="F856" s="523" t="e">
        <f ca="1">IF(Errorhandling!$C$42,INDEX(Calc!$J$99:$J$109,MATCH(Display!B856,Calc!$K$99:$K$109,0),1),#N/A)</f>
        <v>#N/A</v>
      </c>
    </row>
    <row r="857" spans="2:6" x14ac:dyDescent="0.2">
      <c r="B857" s="6">
        <f t="shared" si="17"/>
        <v>854</v>
      </c>
      <c r="C857" s="81" t="e">
        <f ca="1">VLOOKUP(B857,Calc!$K$66:$L$76,2,FALSE)</f>
        <v>#N/A</v>
      </c>
      <c r="D857" s="81" t="e">
        <f ca="1">VLOOKUP(B857,Calc!$K$77:$L$87,2,FALSE)</f>
        <v>#N/A</v>
      </c>
      <c r="E857" s="523" t="e">
        <f ca="1">VLOOKUP(B857,Calc!$K$88:$L$98,2,FALSE)</f>
        <v>#N/A</v>
      </c>
      <c r="F857" s="523" t="e">
        <f ca="1">IF(Errorhandling!$C$42,INDEX(Calc!$J$99:$J$109,MATCH(Display!B857,Calc!$K$99:$K$109,0),1),#N/A)</f>
        <v>#N/A</v>
      </c>
    </row>
    <row r="858" spans="2:6" x14ac:dyDescent="0.2">
      <c r="B858" s="6">
        <f t="shared" si="17"/>
        <v>855</v>
      </c>
      <c r="C858" s="81" t="e">
        <f ca="1">VLOOKUP(B858,Calc!$K$66:$L$76,2,FALSE)</f>
        <v>#N/A</v>
      </c>
      <c r="D858" s="81" t="e">
        <f ca="1">VLOOKUP(B858,Calc!$K$77:$L$87,2,FALSE)</f>
        <v>#N/A</v>
      </c>
      <c r="E858" s="523" t="e">
        <f ca="1">VLOOKUP(B858,Calc!$K$88:$L$98,2,FALSE)</f>
        <v>#N/A</v>
      </c>
      <c r="F858" s="523" t="e">
        <f ca="1">IF(Errorhandling!$C$42,INDEX(Calc!$J$99:$J$109,MATCH(Display!B858,Calc!$K$99:$K$109,0),1),#N/A)</f>
        <v>#N/A</v>
      </c>
    </row>
    <row r="859" spans="2:6" x14ac:dyDescent="0.2">
      <c r="B859" s="6">
        <f t="shared" si="17"/>
        <v>856</v>
      </c>
      <c r="C859" s="81" t="e">
        <f ca="1">VLOOKUP(B859,Calc!$K$66:$L$76,2,FALSE)</f>
        <v>#N/A</v>
      </c>
      <c r="D859" s="81" t="e">
        <f ca="1">VLOOKUP(B859,Calc!$K$77:$L$87,2,FALSE)</f>
        <v>#N/A</v>
      </c>
      <c r="E859" s="523" t="e">
        <f ca="1">VLOOKUP(B859,Calc!$K$88:$L$98,2,FALSE)</f>
        <v>#N/A</v>
      </c>
      <c r="F859" s="523" t="e">
        <f ca="1">IF(Errorhandling!$C$42,INDEX(Calc!$J$99:$J$109,MATCH(Display!B859,Calc!$K$99:$K$109,0),1),#N/A)</f>
        <v>#N/A</v>
      </c>
    </row>
    <row r="860" spans="2:6" x14ac:dyDescent="0.2">
      <c r="B860" s="6">
        <f t="shared" si="17"/>
        <v>857</v>
      </c>
      <c r="C860" s="81" t="e">
        <f ca="1">VLOOKUP(B860,Calc!$K$66:$L$76,2,FALSE)</f>
        <v>#N/A</v>
      </c>
      <c r="D860" s="81" t="e">
        <f ca="1">VLOOKUP(B860,Calc!$K$77:$L$87,2,FALSE)</f>
        <v>#N/A</v>
      </c>
      <c r="E860" s="523" t="e">
        <f ca="1">VLOOKUP(B860,Calc!$K$88:$L$98,2,FALSE)</f>
        <v>#N/A</v>
      </c>
      <c r="F860" s="523" t="e">
        <f ca="1">IF(Errorhandling!$C$42,INDEX(Calc!$J$99:$J$109,MATCH(Display!B860,Calc!$K$99:$K$109,0),1),#N/A)</f>
        <v>#N/A</v>
      </c>
    </row>
    <row r="861" spans="2:6" x14ac:dyDescent="0.2">
      <c r="B861" s="6">
        <f t="shared" si="17"/>
        <v>858</v>
      </c>
      <c r="C861" s="81" t="e">
        <f ca="1">VLOOKUP(B861,Calc!$K$66:$L$76,2,FALSE)</f>
        <v>#N/A</v>
      </c>
      <c r="D861" s="81" t="e">
        <f ca="1">VLOOKUP(B861,Calc!$K$77:$L$87,2,FALSE)</f>
        <v>#N/A</v>
      </c>
      <c r="E861" s="523" t="e">
        <f ca="1">VLOOKUP(B861,Calc!$K$88:$L$98,2,FALSE)</f>
        <v>#N/A</v>
      </c>
      <c r="F861" s="523" t="e">
        <f ca="1">IF(Errorhandling!$C$42,INDEX(Calc!$J$99:$J$109,MATCH(Display!B861,Calc!$K$99:$K$109,0),1),#N/A)</f>
        <v>#N/A</v>
      </c>
    </row>
    <row r="862" spans="2:6" x14ac:dyDescent="0.2">
      <c r="B862" s="6">
        <f t="shared" si="17"/>
        <v>859</v>
      </c>
      <c r="C862" s="81" t="e">
        <f ca="1">VLOOKUP(B862,Calc!$K$66:$L$76,2,FALSE)</f>
        <v>#N/A</v>
      </c>
      <c r="D862" s="81" t="e">
        <f ca="1">VLOOKUP(B862,Calc!$K$77:$L$87,2,FALSE)</f>
        <v>#N/A</v>
      </c>
      <c r="E862" s="523" t="e">
        <f ca="1">VLOOKUP(B862,Calc!$K$88:$L$98,2,FALSE)</f>
        <v>#N/A</v>
      </c>
      <c r="F862" s="523" t="e">
        <f ca="1">IF(Errorhandling!$C$42,INDEX(Calc!$J$99:$J$109,MATCH(Display!B862,Calc!$K$99:$K$109,0),1),#N/A)</f>
        <v>#N/A</v>
      </c>
    </row>
    <row r="863" spans="2:6" x14ac:dyDescent="0.2">
      <c r="B863" s="6">
        <f t="shared" si="17"/>
        <v>860</v>
      </c>
      <c r="C863" s="81" t="e">
        <f ca="1">VLOOKUP(B863,Calc!$K$66:$L$76,2,FALSE)</f>
        <v>#N/A</v>
      </c>
      <c r="D863" s="81" t="e">
        <f ca="1">VLOOKUP(B863,Calc!$K$77:$L$87,2,FALSE)</f>
        <v>#N/A</v>
      </c>
      <c r="E863" s="523" t="e">
        <f ca="1">VLOOKUP(B863,Calc!$K$88:$L$98,2,FALSE)</f>
        <v>#N/A</v>
      </c>
      <c r="F863" s="523" t="e">
        <f ca="1">IF(Errorhandling!$C$42,INDEX(Calc!$J$99:$J$109,MATCH(Display!B863,Calc!$K$99:$K$109,0),1),#N/A)</f>
        <v>#N/A</v>
      </c>
    </row>
    <row r="864" spans="2:6" x14ac:dyDescent="0.2">
      <c r="B864" s="6">
        <f t="shared" si="17"/>
        <v>861</v>
      </c>
      <c r="C864" s="81" t="e">
        <f ca="1">VLOOKUP(B864,Calc!$K$66:$L$76,2,FALSE)</f>
        <v>#N/A</v>
      </c>
      <c r="D864" s="81" t="e">
        <f ca="1">VLOOKUP(B864,Calc!$K$77:$L$87,2,FALSE)</f>
        <v>#N/A</v>
      </c>
      <c r="E864" s="523" t="e">
        <f ca="1">VLOOKUP(B864,Calc!$K$88:$L$98,2,FALSE)</f>
        <v>#N/A</v>
      </c>
      <c r="F864" s="523" t="e">
        <f ca="1">IF(Errorhandling!$C$42,INDEX(Calc!$J$99:$J$109,MATCH(Display!B864,Calc!$K$99:$K$109,0),1),#N/A)</f>
        <v>#N/A</v>
      </c>
    </row>
    <row r="865" spans="2:6" x14ac:dyDescent="0.2">
      <c r="B865" s="6">
        <f t="shared" si="17"/>
        <v>862</v>
      </c>
      <c r="C865" s="81" t="e">
        <f ca="1">VLOOKUP(B865,Calc!$K$66:$L$76,2,FALSE)</f>
        <v>#N/A</v>
      </c>
      <c r="D865" s="81" t="e">
        <f ca="1">VLOOKUP(B865,Calc!$K$77:$L$87,2,FALSE)</f>
        <v>#N/A</v>
      </c>
      <c r="E865" s="523" t="e">
        <f ca="1">VLOOKUP(B865,Calc!$K$88:$L$98,2,FALSE)</f>
        <v>#N/A</v>
      </c>
      <c r="F865" s="523" t="e">
        <f ca="1">IF(Errorhandling!$C$42,INDEX(Calc!$J$99:$J$109,MATCH(Display!B865,Calc!$K$99:$K$109,0),1),#N/A)</f>
        <v>#N/A</v>
      </c>
    </row>
    <row r="866" spans="2:6" x14ac:dyDescent="0.2">
      <c r="B866" s="6">
        <f t="shared" si="17"/>
        <v>863</v>
      </c>
      <c r="C866" s="81" t="e">
        <f ca="1">VLOOKUP(B866,Calc!$K$66:$L$76,2,FALSE)</f>
        <v>#N/A</v>
      </c>
      <c r="D866" s="81" t="e">
        <f ca="1">VLOOKUP(B866,Calc!$K$77:$L$87,2,FALSE)</f>
        <v>#N/A</v>
      </c>
      <c r="E866" s="523" t="e">
        <f ca="1">VLOOKUP(B866,Calc!$K$88:$L$98,2,FALSE)</f>
        <v>#N/A</v>
      </c>
      <c r="F866" s="523" t="e">
        <f ca="1">IF(Errorhandling!$C$42,INDEX(Calc!$J$99:$J$109,MATCH(Display!B866,Calc!$K$99:$K$109,0),1),#N/A)</f>
        <v>#N/A</v>
      </c>
    </row>
    <row r="867" spans="2:6" x14ac:dyDescent="0.2">
      <c r="B867" s="6">
        <f t="shared" si="17"/>
        <v>864</v>
      </c>
      <c r="C867" s="81" t="e">
        <f ca="1">VLOOKUP(B867,Calc!$K$66:$L$76,2,FALSE)</f>
        <v>#N/A</v>
      </c>
      <c r="D867" s="81" t="e">
        <f ca="1">VLOOKUP(B867,Calc!$K$77:$L$87,2,FALSE)</f>
        <v>#N/A</v>
      </c>
      <c r="E867" s="523" t="e">
        <f ca="1">VLOOKUP(B867,Calc!$K$88:$L$98,2,FALSE)</f>
        <v>#N/A</v>
      </c>
      <c r="F867" s="523" t="e">
        <f ca="1">IF(Errorhandling!$C$42,INDEX(Calc!$J$99:$J$109,MATCH(Display!B867,Calc!$K$99:$K$109,0),1),#N/A)</f>
        <v>#N/A</v>
      </c>
    </row>
    <row r="868" spans="2:6" x14ac:dyDescent="0.2">
      <c r="B868" s="6">
        <f t="shared" si="17"/>
        <v>865</v>
      </c>
      <c r="C868" s="81" t="e">
        <f ca="1">VLOOKUP(B868,Calc!$K$66:$L$76,2,FALSE)</f>
        <v>#N/A</v>
      </c>
      <c r="D868" s="81" t="e">
        <f ca="1">VLOOKUP(B868,Calc!$K$77:$L$87,2,FALSE)</f>
        <v>#N/A</v>
      </c>
      <c r="E868" s="523" t="e">
        <f ca="1">VLOOKUP(B868,Calc!$K$88:$L$98,2,FALSE)</f>
        <v>#N/A</v>
      </c>
      <c r="F868" s="523" t="e">
        <f ca="1">IF(Errorhandling!$C$42,INDEX(Calc!$J$99:$J$109,MATCH(Display!B868,Calc!$K$99:$K$109,0),1),#N/A)</f>
        <v>#N/A</v>
      </c>
    </row>
    <row r="869" spans="2:6" x14ac:dyDescent="0.2">
      <c r="B869" s="6">
        <f t="shared" si="17"/>
        <v>866</v>
      </c>
      <c r="C869" s="81" t="e">
        <f ca="1">VLOOKUP(B869,Calc!$K$66:$L$76,2,FALSE)</f>
        <v>#N/A</v>
      </c>
      <c r="D869" s="81" t="e">
        <f ca="1">VLOOKUP(B869,Calc!$K$77:$L$87,2,FALSE)</f>
        <v>#N/A</v>
      </c>
      <c r="E869" s="523" t="e">
        <f ca="1">VLOOKUP(B869,Calc!$K$88:$L$98,2,FALSE)</f>
        <v>#N/A</v>
      </c>
      <c r="F869" s="523" t="e">
        <f ca="1">IF(Errorhandling!$C$42,INDEX(Calc!$J$99:$J$109,MATCH(Display!B869,Calc!$K$99:$K$109,0),1),#N/A)</f>
        <v>#N/A</v>
      </c>
    </row>
    <row r="870" spans="2:6" x14ac:dyDescent="0.2">
      <c r="B870" s="6">
        <f t="shared" si="17"/>
        <v>867</v>
      </c>
      <c r="C870" s="81" t="e">
        <f ca="1">VLOOKUP(B870,Calc!$K$66:$L$76,2,FALSE)</f>
        <v>#N/A</v>
      </c>
      <c r="D870" s="81" t="e">
        <f ca="1">VLOOKUP(B870,Calc!$K$77:$L$87,2,FALSE)</f>
        <v>#N/A</v>
      </c>
      <c r="E870" s="523" t="e">
        <f ca="1">VLOOKUP(B870,Calc!$K$88:$L$98,2,FALSE)</f>
        <v>#N/A</v>
      </c>
      <c r="F870" s="523" t="e">
        <f ca="1">IF(Errorhandling!$C$42,INDEX(Calc!$J$99:$J$109,MATCH(Display!B870,Calc!$K$99:$K$109,0),1),#N/A)</f>
        <v>#N/A</v>
      </c>
    </row>
    <row r="871" spans="2:6" x14ac:dyDescent="0.2">
      <c r="B871" s="6">
        <f t="shared" si="17"/>
        <v>868</v>
      </c>
      <c r="C871" s="81" t="e">
        <f ca="1">VLOOKUP(B871,Calc!$K$66:$L$76,2,FALSE)</f>
        <v>#N/A</v>
      </c>
      <c r="D871" s="81" t="e">
        <f ca="1">VLOOKUP(B871,Calc!$K$77:$L$87,2,FALSE)</f>
        <v>#N/A</v>
      </c>
      <c r="E871" s="523" t="e">
        <f ca="1">VLOOKUP(B871,Calc!$K$88:$L$98,2,FALSE)</f>
        <v>#N/A</v>
      </c>
      <c r="F871" s="523" t="e">
        <f ca="1">IF(Errorhandling!$C$42,INDEX(Calc!$J$99:$J$109,MATCH(Display!B871,Calc!$K$99:$K$109,0),1),#N/A)</f>
        <v>#N/A</v>
      </c>
    </row>
    <row r="872" spans="2:6" x14ac:dyDescent="0.2">
      <c r="B872" s="6">
        <f t="shared" si="17"/>
        <v>869</v>
      </c>
      <c r="C872" s="81" t="e">
        <f ca="1">VLOOKUP(B872,Calc!$K$66:$L$76,2,FALSE)</f>
        <v>#N/A</v>
      </c>
      <c r="D872" s="81" t="e">
        <f ca="1">VLOOKUP(B872,Calc!$K$77:$L$87,2,FALSE)</f>
        <v>#N/A</v>
      </c>
      <c r="E872" s="523" t="e">
        <f ca="1">VLOOKUP(B872,Calc!$K$88:$L$98,2,FALSE)</f>
        <v>#N/A</v>
      </c>
      <c r="F872" s="523" t="e">
        <f ca="1">IF(Errorhandling!$C$42,INDEX(Calc!$J$99:$J$109,MATCH(Display!B872,Calc!$K$99:$K$109,0),1),#N/A)</f>
        <v>#N/A</v>
      </c>
    </row>
    <row r="873" spans="2:6" x14ac:dyDescent="0.2">
      <c r="B873" s="6">
        <f t="shared" si="17"/>
        <v>870</v>
      </c>
      <c r="C873" s="81" t="e">
        <f ca="1">VLOOKUP(B873,Calc!$K$66:$L$76,2,FALSE)</f>
        <v>#N/A</v>
      </c>
      <c r="D873" s="81" t="e">
        <f ca="1">VLOOKUP(B873,Calc!$K$77:$L$87,2,FALSE)</f>
        <v>#N/A</v>
      </c>
      <c r="E873" s="523" t="e">
        <f ca="1">VLOOKUP(B873,Calc!$K$88:$L$98,2,FALSE)</f>
        <v>#N/A</v>
      </c>
      <c r="F873" s="523" t="e">
        <f ca="1">IF(Errorhandling!$C$42,INDEX(Calc!$J$99:$J$109,MATCH(Display!B873,Calc!$K$99:$K$109,0),1),#N/A)</f>
        <v>#N/A</v>
      </c>
    </row>
    <row r="874" spans="2:6" x14ac:dyDescent="0.2">
      <c r="B874" s="6">
        <f t="shared" si="17"/>
        <v>871</v>
      </c>
      <c r="C874" s="81" t="e">
        <f ca="1">VLOOKUP(B874,Calc!$K$66:$L$76,2,FALSE)</f>
        <v>#N/A</v>
      </c>
      <c r="D874" s="81" t="e">
        <f ca="1">VLOOKUP(B874,Calc!$K$77:$L$87,2,FALSE)</f>
        <v>#N/A</v>
      </c>
      <c r="E874" s="523" t="e">
        <f ca="1">VLOOKUP(B874,Calc!$K$88:$L$98,2,FALSE)</f>
        <v>#N/A</v>
      </c>
      <c r="F874" s="523" t="e">
        <f ca="1">IF(Errorhandling!$C$42,INDEX(Calc!$J$99:$J$109,MATCH(Display!B874,Calc!$K$99:$K$109,0),1),#N/A)</f>
        <v>#N/A</v>
      </c>
    </row>
    <row r="875" spans="2:6" x14ac:dyDescent="0.2">
      <c r="B875" s="6">
        <f t="shared" si="17"/>
        <v>872</v>
      </c>
      <c r="C875" s="81" t="e">
        <f ca="1">VLOOKUP(B875,Calc!$K$66:$L$76,2,FALSE)</f>
        <v>#N/A</v>
      </c>
      <c r="D875" s="81" t="e">
        <f ca="1">VLOOKUP(B875,Calc!$K$77:$L$87,2,FALSE)</f>
        <v>#N/A</v>
      </c>
      <c r="E875" s="523" t="e">
        <f ca="1">VLOOKUP(B875,Calc!$K$88:$L$98,2,FALSE)</f>
        <v>#N/A</v>
      </c>
      <c r="F875" s="523" t="e">
        <f ca="1">IF(Errorhandling!$C$42,INDEX(Calc!$J$99:$J$109,MATCH(Display!B875,Calc!$K$99:$K$109,0),1),#N/A)</f>
        <v>#N/A</v>
      </c>
    </row>
    <row r="876" spans="2:6" x14ac:dyDescent="0.2">
      <c r="B876" s="6">
        <f t="shared" si="17"/>
        <v>873</v>
      </c>
      <c r="C876" s="81" t="e">
        <f ca="1">VLOOKUP(B876,Calc!$K$66:$L$76,2,FALSE)</f>
        <v>#N/A</v>
      </c>
      <c r="D876" s="81" t="e">
        <f ca="1">VLOOKUP(B876,Calc!$K$77:$L$87,2,FALSE)</f>
        <v>#N/A</v>
      </c>
      <c r="E876" s="523" t="e">
        <f ca="1">VLOOKUP(B876,Calc!$K$88:$L$98,2,FALSE)</f>
        <v>#N/A</v>
      </c>
      <c r="F876" s="523" t="e">
        <f ca="1">IF(Errorhandling!$C$42,INDEX(Calc!$J$99:$J$109,MATCH(Display!B876,Calc!$K$99:$K$109,0),1),#N/A)</f>
        <v>#N/A</v>
      </c>
    </row>
    <row r="877" spans="2:6" x14ac:dyDescent="0.2">
      <c r="B877" s="6">
        <f t="shared" si="17"/>
        <v>874</v>
      </c>
      <c r="C877" s="81" t="e">
        <f ca="1">VLOOKUP(B877,Calc!$K$66:$L$76,2,FALSE)</f>
        <v>#N/A</v>
      </c>
      <c r="D877" s="81" t="e">
        <f ca="1">VLOOKUP(B877,Calc!$K$77:$L$87,2,FALSE)</f>
        <v>#N/A</v>
      </c>
      <c r="E877" s="523" t="e">
        <f ca="1">VLOOKUP(B877,Calc!$K$88:$L$98,2,FALSE)</f>
        <v>#N/A</v>
      </c>
      <c r="F877" s="523" t="e">
        <f ca="1">IF(Errorhandling!$C$42,INDEX(Calc!$J$99:$J$109,MATCH(Display!B877,Calc!$K$99:$K$109,0),1),#N/A)</f>
        <v>#N/A</v>
      </c>
    </row>
    <row r="878" spans="2:6" x14ac:dyDescent="0.2">
      <c r="B878" s="6">
        <f t="shared" si="17"/>
        <v>875</v>
      </c>
      <c r="C878" s="81" t="e">
        <f ca="1">VLOOKUP(B878,Calc!$K$66:$L$76,2,FALSE)</f>
        <v>#N/A</v>
      </c>
      <c r="D878" s="81" t="e">
        <f ca="1">VLOOKUP(B878,Calc!$K$77:$L$87,2,FALSE)</f>
        <v>#N/A</v>
      </c>
      <c r="E878" s="523" t="e">
        <f ca="1">VLOOKUP(B878,Calc!$K$88:$L$98,2,FALSE)</f>
        <v>#N/A</v>
      </c>
      <c r="F878" s="523" t="e">
        <f ca="1">IF(Errorhandling!$C$42,INDEX(Calc!$J$99:$J$109,MATCH(Display!B878,Calc!$K$99:$K$109,0),1),#N/A)</f>
        <v>#N/A</v>
      </c>
    </row>
    <row r="879" spans="2:6" x14ac:dyDescent="0.2">
      <c r="B879" s="6">
        <f t="shared" si="17"/>
        <v>876</v>
      </c>
      <c r="C879" s="81" t="e">
        <f ca="1">VLOOKUP(B879,Calc!$K$66:$L$76,2,FALSE)</f>
        <v>#N/A</v>
      </c>
      <c r="D879" s="81" t="e">
        <f ca="1">VLOOKUP(B879,Calc!$K$77:$L$87,2,FALSE)</f>
        <v>#N/A</v>
      </c>
      <c r="E879" s="523" t="e">
        <f ca="1">VLOOKUP(B879,Calc!$K$88:$L$98,2,FALSE)</f>
        <v>#N/A</v>
      </c>
      <c r="F879" s="523" t="e">
        <f ca="1">IF(Errorhandling!$C$42,INDEX(Calc!$J$99:$J$109,MATCH(Display!B879,Calc!$K$99:$K$109,0),1),#N/A)</f>
        <v>#N/A</v>
      </c>
    </row>
    <row r="880" spans="2:6" x14ac:dyDescent="0.2">
      <c r="B880" s="6">
        <f t="shared" si="17"/>
        <v>877</v>
      </c>
      <c r="C880" s="81" t="e">
        <f ca="1">VLOOKUP(B880,Calc!$K$66:$L$76,2,FALSE)</f>
        <v>#N/A</v>
      </c>
      <c r="D880" s="81" t="e">
        <f ca="1">VLOOKUP(B880,Calc!$K$77:$L$87,2,FALSE)</f>
        <v>#N/A</v>
      </c>
      <c r="E880" s="523">
        <f ca="1">VLOOKUP(B880,Calc!$K$88:$L$98,2,FALSE)</f>
        <v>87.023653149570706</v>
      </c>
      <c r="F880" s="523">
        <f ca="1">IF(Errorhandling!$C$42,INDEX(Calc!$J$99:$J$109,MATCH(Display!B880,Calc!$K$99:$K$109,0),1),#N/A)</f>
        <v>2.7519295426112869E-5</v>
      </c>
    </row>
    <row r="881" spans="2:6" x14ac:dyDescent="0.2">
      <c r="B881" s="6">
        <f t="shared" si="17"/>
        <v>878</v>
      </c>
      <c r="C881" s="81" t="e">
        <f ca="1">VLOOKUP(B881,Calc!$K$66:$L$76,2,FALSE)</f>
        <v>#N/A</v>
      </c>
      <c r="D881" s="81" t="e">
        <f ca="1">VLOOKUP(B881,Calc!$K$77:$L$87,2,FALSE)</f>
        <v>#N/A</v>
      </c>
      <c r="E881" s="523" t="e">
        <f ca="1">VLOOKUP(B881,Calc!$K$88:$L$98,2,FALSE)</f>
        <v>#N/A</v>
      </c>
      <c r="F881" s="523" t="e">
        <f ca="1">IF(Errorhandling!$C$42,INDEX(Calc!$J$99:$J$109,MATCH(Display!B881,Calc!$K$99:$K$109,0),1),#N/A)</f>
        <v>#N/A</v>
      </c>
    </row>
    <row r="882" spans="2:6" x14ac:dyDescent="0.2">
      <c r="B882" s="6">
        <f t="shared" si="17"/>
        <v>879</v>
      </c>
      <c r="C882" s="81" t="e">
        <f ca="1">VLOOKUP(B882,Calc!$K$66:$L$76,2,FALSE)</f>
        <v>#N/A</v>
      </c>
      <c r="D882" s="81" t="e">
        <f ca="1">VLOOKUP(B882,Calc!$K$77:$L$87,2,FALSE)</f>
        <v>#N/A</v>
      </c>
      <c r="E882" s="523" t="e">
        <f ca="1">VLOOKUP(B882,Calc!$K$88:$L$98,2,FALSE)</f>
        <v>#N/A</v>
      </c>
      <c r="F882" s="523" t="e">
        <f ca="1">IF(Errorhandling!$C$42,INDEX(Calc!$J$99:$J$109,MATCH(Display!B882,Calc!$K$99:$K$109,0),1),#N/A)</f>
        <v>#N/A</v>
      </c>
    </row>
    <row r="883" spans="2:6" x14ac:dyDescent="0.2">
      <c r="B883" s="6">
        <f t="shared" si="17"/>
        <v>880</v>
      </c>
      <c r="C883" s="81" t="e">
        <f ca="1">VLOOKUP(B883,Calc!$K$66:$L$76,2,FALSE)</f>
        <v>#N/A</v>
      </c>
      <c r="D883" s="81" t="e">
        <f ca="1">VLOOKUP(B883,Calc!$K$77:$L$87,2,FALSE)</f>
        <v>#N/A</v>
      </c>
      <c r="E883" s="523" t="e">
        <f ca="1">VLOOKUP(B883,Calc!$K$88:$L$98,2,FALSE)</f>
        <v>#N/A</v>
      </c>
      <c r="F883" s="523" t="e">
        <f ca="1">IF(Errorhandling!$C$42,INDEX(Calc!$J$99:$J$109,MATCH(Display!B883,Calc!$K$99:$K$109,0),1),#N/A)</f>
        <v>#N/A</v>
      </c>
    </row>
    <row r="884" spans="2:6" x14ac:dyDescent="0.2">
      <c r="B884" s="6">
        <f t="shared" si="17"/>
        <v>881</v>
      </c>
      <c r="C884" s="81" t="e">
        <f ca="1">VLOOKUP(B884,Calc!$K$66:$L$76,2,FALSE)</f>
        <v>#N/A</v>
      </c>
      <c r="D884" s="81" t="e">
        <f ca="1">VLOOKUP(B884,Calc!$K$77:$L$87,2,FALSE)</f>
        <v>#N/A</v>
      </c>
      <c r="E884" s="523" t="e">
        <f ca="1">VLOOKUP(B884,Calc!$K$88:$L$98,2,FALSE)</f>
        <v>#N/A</v>
      </c>
      <c r="F884" s="523" t="e">
        <f ca="1">IF(Errorhandling!$C$42,INDEX(Calc!$J$99:$J$109,MATCH(Display!B884,Calc!$K$99:$K$109,0),1),#N/A)</f>
        <v>#N/A</v>
      </c>
    </row>
    <row r="885" spans="2:6" x14ac:dyDescent="0.2">
      <c r="B885" s="6">
        <f t="shared" si="17"/>
        <v>882</v>
      </c>
      <c r="C885" s="81" t="e">
        <f ca="1">VLOOKUP(B885,Calc!$K$66:$L$76,2,FALSE)</f>
        <v>#N/A</v>
      </c>
      <c r="D885" s="81" t="e">
        <f ca="1">VLOOKUP(B885,Calc!$K$77:$L$87,2,FALSE)</f>
        <v>#N/A</v>
      </c>
      <c r="E885" s="523" t="e">
        <f ca="1">VLOOKUP(B885,Calc!$K$88:$L$98,2,FALSE)</f>
        <v>#N/A</v>
      </c>
      <c r="F885" s="523" t="e">
        <f ca="1">IF(Errorhandling!$C$42,INDEX(Calc!$J$99:$J$109,MATCH(Display!B885,Calc!$K$99:$K$109,0),1),#N/A)</f>
        <v>#N/A</v>
      </c>
    </row>
    <row r="886" spans="2:6" x14ac:dyDescent="0.2">
      <c r="B886" s="6">
        <f t="shared" si="17"/>
        <v>883</v>
      </c>
      <c r="C886" s="81" t="e">
        <f ca="1">VLOOKUP(B886,Calc!$K$66:$L$76,2,FALSE)</f>
        <v>#N/A</v>
      </c>
      <c r="D886" s="81" t="e">
        <f ca="1">VLOOKUP(B886,Calc!$K$77:$L$87,2,FALSE)</f>
        <v>#N/A</v>
      </c>
      <c r="E886" s="523" t="e">
        <f ca="1">VLOOKUP(B886,Calc!$K$88:$L$98,2,FALSE)</f>
        <v>#N/A</v>
      </c>
      <c r="F886" s="523" t="e">
        <f ca="1">IF(Errorhandling!$C$42,INDEX(Calc!$J$99:$J$109,MATCH(Display!B886,Calc!$K$99:$K$109,0),1),#N/A)</f>
        <v>#N/A</v>
      </c>
    </row>
    <row r="887" spans="2:6" x14ac:dyDescent="0.2">
      <c r="B887" s="6">
        <f t="shared" si="17"/>
        <v>884</v>
      </c>
      <c r="C887" s="81" t="e">
        <f ca="1">VLOOKUP(B887,Calc!$K$66:$L$76,2,FALSE)</f>
        <v>#N/A</v>
      </c>
      <c r="D887" s="81" t="e">
        <f ca="1">VLOOKUP(B887,Calc!$K$77:$L$87,2,FALSE)</f>
        <v>#N/A</v>
      </c>
      <c r="E887" s="523" t="e">
        <f ca="1">VLOOKUP(B887,Calc!$K$88:$L$98,2,FALSE)</f>
        <v>#N/A</v>
      </c>
      <c r="F887" s="523" t="e">
        <f ca="1">IF(Errorhandling!$C$42,INDEX(Calc!$J$99:$J$109,MATCH(Display!B887,Calc!$K$99:$K$109,0),1),#N/A)</f>
        <v>#N/A</v>
      </c>
    </row>
    <row r="888" spans="2:6" x14ac:dyDescent="0.2">
      <c r="B888" s="6">
        <f t="shared" si="17"/>
        <v>885</v>
      </c>
      <c r="C888" s="81" t="e">
        <f ca="1">VLOOKUP(B888,Calc!$K$66:$L$76,2,FALSE)</f>
        <v>#N/A</v>
      </c>
      <c r="D888" s="81" t="e">
        <f ca="1">VLOOKUP(B888,Calc!$K$77:$L$87,2,FALSE)</f>
        <v>#N/A</v>
      </c>
      <c r="E888" s="523" t="e">
        <f ca="1">VLOOKUP(B888,Calc!$K$88:$L$98,2,FALSE)</f>
        <v>#N/A</v>
      </c>
      <c r="F888" s="523" t="e">
        <f ca="1">IF(Errorhandling!$C$42,INDEX(Calc!$J$99:$J$109,MATCH(Display!B888,Calc!$K$99:$K$109,0),1),#N/A)</f>
        <v>#N/A</v>
      </c>
    </row>
    <row r="889" spans="2:6" x14ac:dyDescent="0.2">
      <c r="B889" s="6">
        <f t="shared" si="17"/>
        <v>886</v>
      </c>
      <c r="C889" s="81" t="e">
        <f ca="1">VLOOKUP(B889,Calc!$K$66:$L$76,2,FALSE)</f>
        <v>#N/A</v>
      </c>
      <c r="D889" s="81" t="e">
        <f ca="1">VLOOKUP(B889,Calc!$K$77:$L$87,2,FALSE)</f>
        <v>#N/A</v>
      </c>
      <c r="E889" s="523" t="e">
        <f ca="1">VLOOKUP(B889,Calc!$K$88:$L$98,2,FALSE)</f>
        <v>#N/A</v>
      </c>
      <c r="F889" s="523" t="e">
        <f ca="1">IF(Errorhandling!$C$42,INDEX(Calc!$J$99:$J$109,MATCH(Display!B889,Calc!$K$99:$K$109,0),1),#N/A)</f>
        <v>#N/A</v>
      </c>
    </row>
    <row r="890" spans="2:6" x14ac:dyDescent="0.2">
      <c r="B890" s="6">
        <f t="shared" si="17"/>
        <v>887</v>
      </c>
      <c r="C890" s="81" t="e">
        <f ca="1">VLOOKUP(B890,Calc!$K$66:$L$76,2,FALSE)</f>
        <v>#N/A</v>
      </c>
      <c r="D890" s="81" t="e">
        <f ca="1">VLOOKUP(B890,Calc!$K$77:$L$87,2,FALSE)</f>
        <v>#N/A</v>
      </c>
      <c r="E890" s="523" t="e">
        <f ca="1">VLOOKUP(B890,Calc!$K$88:$L$98,2,FALSE)</f>
        <v>#N/A</v>
      </c>
      <c r="F890" s="523" t="e">
        <f ca="1">IF(Errorhandling!$C$42,INDEX(Calc!$J$99:$J$109,MATCH(Display!B890,Calc!$K$99:$K$109,0),1),#N/A)</f>
        <v>#N/A</v>
      </c>
    </row>
    <row r="891" spans="2:6" x14ac:dyDescent="0.2">
      <c r="B891" s="6">
        <f t="shared" si="17"/>
        <v>888</v>
      </c>
      <c r="C891" s="81" t="e">
        <f ca="1">VLOOKUP(B891,Calc!$K$66:$L$76,2,FALSE)</f>
        <v>#N/A</v>
      </c>
      <c r="D891" s="81" t="e">
        <f ca="1">VLOOKUP(B891,Calc!$K$77:$L$87,2,FALSE)</f>
        <v>#N/A</v>
      </c>
      <c r="E891" s="523" t="e">
        <f ca="1">VLOOKUP(B891,Calc!$K$88:$L$98,2,FALSE)</f>
        <v>#N/A</v>
      </c>
      <c r="F891" s="523" t="e">
        <f ca="1">IF(Errorhandling!$C$42,INDEX(Calc!$J$99:$J$109,MATCH(Display!B891,Calc!$K$99:$K$109,0),1),#N/A)</f>
        <v>#N/A</v>
      </c>
    </row>
    <row r="892" spans="2:6" x14ac:dyDescent="0.2">
      <c r="B892" s="6">
        <f t="shared" si="17"/>
        <v>889</v>
      </c>
      <c r="C892" s="81" t="e">
        <f ca="1">VLOOKUP(B892,Calc!$K$66:$L$76,2,FALSE)</f>
        <v>#N/A</v>
      </c>
      <c r="D892" s="81" t="e">
        <f ca="1">VLOOKUP(B892,Calc!$K$77:$L$87,2,FALSE)</f>
        <v>#N/A</v>
      </c>
      <c r="E892" s="523" t="e">
        <f ca="1">VLOOKUP(B892,Calc!$K$88:$L$98,2,FALSE)</f>
        <v>#N/A</v>
      </c>
      <c r="F892" s="523" t="e">
        <f ca="1">IF(Errorhandling!$C$42,INDEX(Calc!$J$99:$J$109,MATCH(Display!B892,Calc!$K$99:$K$109,0),1),#N/A)</f>
        <v>#N/A</v>
      </c>
    </row>
    <row r="893" spans="2:6" x14ac:dyDescent="0.2">
      <c r="B893" s="6">
        <f t="shared" si="17"/>
        <v>890</v>
      </c>
      <c r="C893" s="81" t="e">
        <f ca="1">VLOOKUP(B893,Calc!$K$66:$L$76,2,FALSE)</f>
        <v>#N/A</v>
      </c>
      <c r="D893" s="81" t="e">
        <f ca="1">VLOOKUP(B893,Calc!$K$77:$L$87,2,FALSE)</f>
        <v>#N/A</v>
      </c>
      <c r="E893" s="523" t="e">
        <f ca="1">VLOOKUP(B893,Calc!$K$88:$L$98,2,FALSE)</f>
        <v>#N/A</v>
      </c>
      <c r="F893" s="523" t="e">
        <f ca="1">IF(Errorhandling!$C$42,INDEX(Calc!$J$99:$J$109,MATCH(Display!B893,Calc!$K$99:$K$109,0),1),#N/A)</f>
        <v>#N/A</v>
      </c>
    </row>
    <row r="894" spans="2:6" x14ac:dyDescent="0.2">
      <c r="B894" s="6">
        <f t="shared" si="17"/>
        <v>891</v>
      </c>
      <c r="C894" s="81" t="e">
        <f ca="1">VLOOKUP(B894,Calc!$K$66:$L$76,2,FALSE)</f>
        <v>#N/A</v>
      </c>
      <c r="D894" s="81" t="e">
        <f ca="1">VLOOKUP(B894,Calc!$K$77:$L$87,2,FALSE)</f>
        <v>#N/A</v>
      </c>
      <c r="E894" s="523" t="e">
        <f ca="1">VLOOKUP(B894,Calc!$K$88:$L$98,2,FALSE)</f>
        <v>#N/A</v>
      </c>
      <c r="F894" s="523" t="e">
        <f ca="1">IF(Errorhandling!$C$42,INDEX(Calc!$J$99:$J$109,MATCH(Display!B894,Calc!$K$99:$K$109,0),1),#N/A)</f>
        <v>#N/A</v>
      </c>
    </row>
    <row r="895" spans="2:6" x14ac:dyDescent="0.2">
      <c r="B895" s="6">
        <f t="shared" si="17"/>
        <v>892</v>
      </c>
      <c r="C895" s="81" t="e">
        <f ca="1">VLOOKUP(B895,Calc!$K$66:$L$76,2,FALSE)</f>
        <v>#N/A</v>
      </c>
      <c r="D895" s="81" t="e">
        <f ca="1">VLOOKUP(B895,Calc!$K$77:$L$87,2,FALSE)</f>
        <v>#N/A</v>
      </c>
      <c r="E895" s="523" t="e">
        <f ca="1">VLOOKUP(B895,Calc!$K$88:$L$98,2,FALSE)</f>
        <v>#N/A</v>
      </c>
      <c r="F895" s="523" t="e">
        <f ca="1">IF(Errorhandling!$C$42,INDEX(Calc!$J$99:$J$109,MATCH(Display!B895,Calc!$K$99:$K$109,0),1),#N/A)</f>
        <v>#N/A</v>
      </c>
    </row>
    <row r="896" spans="2:6" x14ac:dyDescent="0.2">
      <c r="B896" s="6">
        <f t="shared" si="17"/>
        <v>893</v>
      </c>
      <c r="C896" s="81" t="e">
        <f ca="1">VLOOKUP(B896,Calc!$K$66:$L$76,2,FALSE)</f>
        <v>#N/A</v>
      </c>
      <c r="D896" s="81" t="e">
        <f ca="1">VLOOKUP(B896,Calc!$K$77:$L$87,2,FALSE)</f>
        <v>#N/A</v>
      </c>
      <c r="E896" s="523" t="e">
        <f ca="1">VLOOKUP(B896,Calc!$K$88:$L$98,2,FALSE)</f>
        <v>#N/A</v>
      </c>
      <c r="F896" s="523" t="e">
        <f ca="1">IF(Errorhandling!$C$42,INDEX(Calc!$J$99:$J$109,MATCH(Display!B896,Calc!$K$99:$K$109,0),1),#N/A)</f>
        <v>#N/A</v>
      </c>
    </row>
    <row r="897" spans="2:6" x14ac:dyDescent="0.2">
      <c r="B897" s="6">
        <f t="shared" si="17"/>
        <v>894</v>
      </c>
      <c r="C897" s="81" t="e">
        <f ca="1">VLOOKUP(B897,Calc!$K$66:$L$76,2,FALSE)</f>
        <v>#N/A</v>
      </c>
      <c r="D897" s="81" t="e">
        <f ca="1">VLOOKUP(B897,Calc!$K$77:$L$87,2,FALSE)</f>
        <v>#N/A</v>
      </c>
      <c r="E897" s="523" t="e">
        <f ca="1">VLOOKUP(B897,Calc!$K$88:$L$98,2,FALSE)</f>
        <v>#N/A</v>
      </c>
      <c r="F897" s="523" t="e">
        <f ca="1">IF(Errorhandling!$C$42,INDEX(Calc!$J$99:$J$109,MATCH(Display!B897,Calc!$K$99:$K$109,0),1),#N/A)</f>
        <v>#N/A</v>
      </c>
    </row>
    <row r="898" spans="2:6" x14ac:dyDescent="0.2">
      <c r="B898" s="6">
        <f t="shared" si="17"/>
        <v>895</v>
      </c>
      <c r="C898" s="81" t="e">
        <f ca="1">VLOOKUP(B898,Calc!$K$66:$L$76,2,FALSE)</f>
        <v>#N/A</v>
      </c>
      <c r="D898" s="81" t="e">
        <f ca="1">VLOOKUP(B898,Calc!$K$77:$L$87,2,FALSE)</f>
        <v>#N/A</v>
      </c>
      <c r="E898" s="523" t="e">
        <f ca="1">VLOOKUP(B898,Calc!$K$88:$L$98,2,FALSE)</f>
        <v>#N/A</v>
      </c>
      <c r="F898" s="523" t="e">
        <f ca="1">IF(Errorhandling!$C$42,INDEX(Calc!$J$99:$J$109,MATCH(Display!B898,Calc!$K$99:$K$109,0),1),#N/A)</f>
        <v>#N/A</v>
      </c>
    </row>
    <row r="899" spans="2:6" x14ac:dyDescent="0.2">
      <c r="B899" s="6">
        <f t="shared" si="17"/>
        <v>896</v>
      </c>
      <c r="C899" s="81" t="e">
        <f ca="1">VLOOKUP(B899,Calc!$K$66:$L$76,2,FALSE)</f>
        <v>#N/A</v>
      </c>
      <c r="D899" s="81" t="e">
        <f ca="1">VLOOKUP(B899,Calc!$K$77:$L$87,2,FALSE)</f>
        <v>#N/A</v>
      </c>
      <c r="E899" s="523" t="e">
        <f ca="1">VLOOKUP(B899,Calc!$K$88:$L$98,2,FALSE)</f>
        <v>#N/A</v>
      </c>
      <c r="F899" s="523" t="e">
        <f ca="1">IF(Errorhandling!$C$42,INDEX(Calc!$J$99:$J$109,MATCH(Display!B899,Calc!$K$99:$K$109,0),1),#N/A)</f>
        <v>#N/A</v>
      </c>
    </row>
    <row r="900" spans="2:6" x14ac:dyDescent="0.2">
      <c r="B900" s="6">
        <f t="shared" si="17"/>
        <v>897</v>
      </c>
      <c r="C900" s="81" t="e">
        <f ca="1">VLOOKUP(B900,Calc!$K$66:$L$76,2,FALSE)</f>
        <v>#N/A</v>
      </c>
      <c r="D900" s="81" t="e">
        <f ca="1">VLOOKUP(B900,Calc!$K$77:$L$87,2,FALSE)</f>
        <v>#N/A</v>
      </c>
      <c r="E900" s="523" t="e">
        <f ca="1">VLOOKUP(B900,Calc!$K$88:$L$98,2,FALSE)</f>
        <v>#N/A</v>
      </c>
      <c r="F900" s="523" t="e">
        <f ca="1">IF(Errorhandling!$C$42,INDEX(Calc!$J$99:$J$109,MATCH(Display!B900,Calc!$K$99:$K$109,0),1),#N/A)</f>
        <v>#N/A</v>
      </c>
    </row>
    <row r="901" spans="2:6" x14ac:dyDescent="0.2">
      <c r="B901" s="6">
        <f t="shared" si="17"/>
        <v>898</v>
      </c>
      <c r="C901" s="81" t="e">
        <f ca="1">VLOOKUP(B901,Calc!$K$66:$L$76,2,FALSE)</f>
        <v>#N/A</v>
      </c>
      <c r="D901" s="81" t="e">
        <f ca="1">VLOOKUP(B901,Calc!$K$77:$L$87,2,FALSE)</f>
        <v>#N/A</v>
      </c>
      <c r="E901" s="523" t="e">
        <f ca="1">VLOOKUP(B901,Calc!$K$88:$L$98,2,FALSE)</f>
        <v>#N/A</v>
      </c>
      <c r="F901" s="523" t="e">
        <f ca="1">IF(Errorhandling!$C$42,INDEX(Calc!$J$99:$J$109,MATCH(Display!B901,Calc!$K$99:$K$109,0),1),#N/A)</f>
        <v>#N/A</v>
      </c>
    </row>
    <row r="902" spans="2:6" x14ac:dyDescent="0.2">
      <c r="B902" s="6">
        <f t="shared" si="17"/>
        <v>899</v>
      </c>
      <c r="C902" s="81" t="e">
        <f ca="1">VLOOKUP(B902,Calc!$K$66:$L$76,2,FALSE)</f>
        <v>#N/A</v>
      </c>
      <c r="D902" s="81" t="e">
        <f ca="1">VLOOKUP(B902,Calc!$K$77:$L$87,2,FALSE)</f>
        <v>#N/A</v>
      </c>
      <c r="E902" s="523" t="e">
        <f ca="1">VLOOKUP(B902,Calc!$K$88:$L$98,2,FALSE)</f>
        <v>#N/A</v>
      </c>
      <c r="F902" s="523" t="e">
        <f ca="1">IF(Errorhandling!$C$42,INDEX(Calc!$J$99:$J$109,MATCH(Display!B902,Calc!$K$99:$K$109,0),1),#N/A)</f>
        <v>#N/A</v>
      </c>
    </row>
    <row r="903" spans="2:6" x14ac:dyDescent="0.2">
      <c r="B903" s="6">
        <f t="shared" ref="B903:B966" si="18">1+B902</f>
        <v>900</v>
      </c>
      <c r="C903" s="81" t="e">
        <f ca="1">VLOOKUP(B903,Calc!$K$66:$L$76,2,FALSE)</f>
        <v>#N/A</v>
      </c>
      <c r="D903" s="81" t="e">
        <f ca="1">VLOOKUP(B903,Calc!$K$77:$L$87,2,FALSE)</f>
        <v>#N/A</v>
      </c>
      <c r="E903" s="523" t="e">
        <f ca="1">VLOOKUP(B903,Calc!$K$88:$L$98,2,FALSE)</f>
        <v>#N/A</v>
      </c>
      <c r="F903" s="523" t="e">
        <f ca="1">IF(Errorhandling!$C$42,INDEX(Calc!$J$99:$J$109,MATCH(Display!B903,Calc!$K$99:$K$109,0),1),#N/A)</f>
        <v>#N/A</v>
      </c>
    </row>
    <row r="904" spans="2:6" x14ac:dyDescent="0.2">
      <c r="B904" s="6">
        <f t="shared" si="18"/>
        <v>901</v>
      </c>
      <c r="C904" s="81" t="e">
        <f ca="1">VLOOKUP(B904,Calc!$K$66:$L$76,2,FALSE)</f>
        <v>#N/A</v>
      </c>
      <c r="D904" s="81" t="e">
        <f ca="1">VLOOKUP(B904,Calc!$K$77:$L$87,2,FALSE)</f>
        <v>#N/A</v>
      </c>
      <c r="E904" s="523" t="e">
        <f ca="1">VLOOKUP(B904,Calc!$K$88:$L$98,2,FALSE)</f>
        <v>#N/A</v>
      </c>
      <c r="F904" s="523" t="e">
        <f ca="1">IF(Errorhandling!$C$42,INDEX(Calc!$J$99:$J$109,MATCH(Display!B904,Calc!$K$99:$K$109,0),1),#N/A)</f>
        <v>#N/A</v>
      </c>
    </row>
    <row r="905" spans="2:6" x14ac:dyDescent="0.2">
      <c r="B905" s="6">
        <f t="shared" si="18"/>
        <v>902</v>
      </c>
      <c r="C905" s="81" t="e">
        <f ca="1">VLOOKUP(B905,Calc!$K$66:$L$76,2,FALSE)</f>
        <v>#N/A</v>
      </c>
      <c r="D905" s="81" t="e">
        <f ca="1">VLOOKUP(B905,Calc!$K$77:$L$87,2,FALSE)</f>
        <v>#N/A</v>
      </c>
      <c r="E905" s="523" t="e">
        <f ca="1">VLOOKUP(B905,Calc!$K$88:$L$98,2,FALSE)</f>
        <v>#N/A</v>
      </c>
      <c r="F905" s="523" t="e">
        <f ca="1">IF(Errorhandling!$C$42,INDEX(Calc!$J$99:$J$109,MATCH(Display!B905,Calc!$K$99:$K$109,0),1),#N/A)</f>
        <v>#N/A</v>
      </c>
    </row>
    <row r="906" spans="2:6" x14ac:dyDescent="0.2">
      <c r="B906" s="6">
        <f t="shared" si="18"/>
        <v>903</v>
      </c>
      <c r="C906" s="81" t="e">
        <f ca="1">VLOOKUP(B906,Calc!$K$66:$L$76,2,FALSE)</f>
        <v>#N/A</v>
      </c>
      <c r="D906" s="81" t="e">
        <f ca="1">VLOOKUP(B906,Calc!$K$77:$L$87,2,FALSE)</f>
        <v>#N/A</v>
      </c>
      <c r="E906" s="523" t="e">
        <f ca="1">VLOOKUP(B906,Calc!$K$88:$L$98,2,FALSE)</f>
        <v>#N/A</v>
      </c>
      <c r="F906" s="523" t="e">
        <f ca="1">IF(Errorhandling!$C$42,INDEX(Calc!$J$99:$J$109,MATCH(Display!B906,Calc!$K$99:$K$109,0),1),#N/A)</f>
        <v>#N/A</v>
      </c>
    </row>
    <row r="907" spans="2:6" x14ac:dyDescent="0.2">
      <c r="B907" s="6">
        <f t="shared" si="18"/>
        <v>904</v>
      </c>
      <c r="C907" s="81" t="e">
        <f ca="1">VLOOKUP(B907,Calc!$K$66:$L$76,2,FALSE)</f>
        <v>#N/A</v>
      </c>
      <c r="D907" s="81" t="e">
        <f ca="1">VLOOKUP(B907,Calc!$K$77:$L$87,2,FALSE)</f>
        <v>#N/A</v>
      </c>
      <c r="E907" s="523" t="e">
        <f ca="1">VLOOKUP(B907,Calc!$K$88:$L$98,2,FALSE)</f>
        <v>#N/A</v>
      </c>
      <c r="F907" s="523" t="e">
        <f ca="1">IF(Errorhandling!$C$42,INDEX(Calc!$J$99:$J$109,MATCH(Display!B907,Calc!$K$99:$K$109,0),1),#N/A)</f>
        <v>#N/A</v>
      </c>
    </row>
    <row r="908" spans="2:6" x14ac:dyDescent="0.2">
      <c r="B908" s="6">
        <f t="shared" si="18"/>
        <v>905</v>
      </c>
      <c r="C908" s="81" t="e">
        <f ca="1">VLOOKUP(B908,Calc!$K$66:$L$76,2,FALSE)</f>
        <v>#N/A</v>
      </c>
      <c r="D908" s="81" t="e">
        <f ca="1">VLOOKUP(B908,Calc!$K$77:$L$87,2,FALSE)</f>
        <v>#N/A</v>
      </c>
      <c r="E908" s="523" t="e">
        <f ca="1">VLOOKUP(B908,Calc!$K$88:$L$98,2,FALSE)</f>
        <v>#N/A</v>
      </c>
      <c r="F908" s="523" t="e">
        <f ca="1">IF(Errorhandling!$C$42,INDEX(Calc!$J$99:$J$109,MATCH(Display!B908,Calc!$K$99:$K$109,0),1),#N/A)</f>
        <v>#N/A</v>
      </c>
    </row>
    <row r="909" spans="2:6" x14ac:dyDescent="0.2">
      <c r="B909" s="6">
        <f t="shared" si="18"/>
        <v>906</v>
      </c>
      <c r="C909" s="81" t="e">
        <f ca="1">VLOOKUP(B909,Calc!$K$66:$L$76,2,FALSE)</f>
        <v>#N/A</v>
      </c>
      <c r="D909" s="81" t="e">
        <f ca="1">VLOOKUP(B909,Calc!$K$77:$L$87,2,FALSE)</f>
        <v>#N/A</v>
      </c>
      <c r="E909" s="523" t="e">
        <f ca="1">VLOOKUP(B909,Calc!$K$88:$L$98,2,FALSE)</f>
        <v>#N/A</v>
      </c>
      <c r="F909" s="523" t="e">
        <f ca="1">IF(Errorhandling!$C$42,INDEX(Calc!$J$99:$J$109,MATCH(Display!B909,Calc!$K$99:$K$109,0),1),#N/A)</f>
        <v>#N/A</v>
      </c>
    </row>
    <row r="910" spans="2:6" x14ac:dyDescent="0.2">
      <c r="B910" s="6">
        <f t="shared" si="18"/>
        <v>907</v>
      </c>
      <c r="C910" s="81" t="e">
        <f ca="1">VLOOKUP(B910,Calc!$K$66:$L$76,2,FALSE)</f>
        <v>#N/A</v>
      </c>
      <c r="D910" s="81" t="e">
        <f ca="1">VLOOKUP(B910,Calc!$K$77:$L$87,2,FALSE)</f>
        <v>#N/A</v>
      </c>
      <c r="E910" s="523" t="e">
        <f ca="1">VLOOKUP(B910,Calc!$K$88:$L$98,2,FALSE)</f>
        <v>#N/A</v>
      </c>
      <c r="F910" s="523" t="e">
        <f ca="1">IF(Errorhandling!$C$42,INDEX(Calc!$J$99:$J$109,MATCH(Display!B910,Calc!$K$99:$K$109,0),1),#N/A)</f>
        <v>#N/A</v>
      </c>
    </row>
    <row r="911" spans="2:6" x14ac:dyDescent="0.2">
      <c r="B911" s="6">
        <f t="shared" si="18"/>
        <v>908</v>
      </c>
      <c r="C911" s="81" t="e">
        <f ca="1">VLOOKUP(B911,Calc!$K$66:$L$76,2,FALSE)</f>
        <v>#N/A</v>
      </c>
      <c r="D911" s="81" t="e">
        <f ca="1">VLOOKUP(B911,Calc!$K$77:$L$87,2,FALSE)</f>
        <v>#N/A</v>
      </c>
      <c r="E911" s="523" t="e">
        <f ca="1">VLOOKUP(B911,Calc!$K$88:$L$98,2,FALSE)</f>
        <v>#N/A</v>
      </c>
      <c r="F911" s="523" t="e">
        <f ca="1">IF(Errorhandling!$C$42,INDEX(Calc!$J$99:$J$109,MATCH(Display!B911,Calc!$K$99:$K$109,0),1),#N/A)</f>
        <v>#N/A</v>
      </c>
    </row>
    <row r="912" spans="2:6" x14ac:dyDescent="0.2">
      <c r="B912" s="6">
        <f t="shared" si="18"/>
        <v>909</v>
      </c>
      <c r="C912" s="81" t="e">
        <f ca="1">VLOOKUP(B912,Calc!$K$66:$L$76,2,FALSE)</f>
        <v>#N/A</v>
      </c>
      <c r="D912" s="81" t="e">
        <f ca="1">VLOOKUP(B912,Calc!$K$77:$L$87,2,FALSE)</f>
        <v>#N/A</v>
      </c>
      <c r="E912" s="523" t="e">
        <f ca="1">VLOOKUP(B912,Calc!$K$88:$L$98,2,FALSE)</f>
        <v>#N/A</v>
      </c>
      <c r="F912" s="523" t="e">
        <f ca="1">IF(Errorhandling!$C$42,INDEX(Calc!$J$99:$J$109,MATCH(Display!B912,Calc!$K$99:$K$109,0),1),#N/A)</f>
        <v>#N/A</v>
      </c>
    </row>
    <row r="913" spans="2:6" x14ac:dyDescent="0.2">
      <c r="B913" s="6">
        <f t="shared" si="18"/>
        <v>910</v>
      </c>
      <c r="C913" s="81" t="e">
        <f ca="1">VLOOKUP(B913,Calc!$K$66:$L$76,2,FALSE)</f>
        <v>#N/A</v>
      </c>
      <c r="D913" s="81" t="e">
        <f ca="1">VLOOKUP(B913,Calc!$K$77:$L$87,2,FALSE)</f>
        <v>#N/A</v>
      </c>
      <c r="E913" s="523" t="e">
        <f ca="1">VLOOKUP(B913,Calc!$K$88:$L$98,2,FALSE)</f>
        <v>#N/A</v>
      </c>
      <c r="F913" s="523" t="e">
        <f ca="1">IF(Errorhandling!$C$42,INDEX(Calc!$J$99:$J$109,MATCH(Display!B913,Calc!$K$99:$K$109,0),1),#N/A)</f>
        <v>#N/A</v>
      </c>
    </row>
    <row r="914" spans="2:6" x14ac:dyDescent="0.2">
      <c r="B914" s="6">
        <f t="shared" si="18"/>
        <v>911</v>
      </c>
      <c r="C914" s="81" t="e">
        <f ca="1">VLOOKUP(B914,Calc!$K$66:$L$76,2,FALSE)</f>
        <v>#N/A</v>
      </c>
      <c r="D914" s="81" t="e">
        <f ca="1">VLOOKUP(B914,Calc!$K$77:$L$87,2,FALSE)</f>
        <v>#N/A</v>
      </c>
      <c r="E914" s="523" t="e">
        <f ca="1">VLOOKUP(B914,Calc!$K$88:$L$98,2,FALSE)</f>
        <v>#N/A</v>
      </c>
      <c r="F914" s="523" t="e">
        <f ca="1">IF(Errorhandling!$C$42,INDEX(Calc!$J$99:$J$109,MATCH(Display!B914,Calc!$K$99:$K$109,0),1),#N/A)</f>
        <v>#N/A</v>
      </c>
    </row>
    <row r="915" spans="2:6" x14ac:dyDescent="0.2">
      <c r="B915" s="6">
        <f t="shared" si="18"/>
        <v>912</v>
      </c>
      <c r="C915" s="81" t="e">
        <f ca="1">VLOOKUP(B915,Calc!$K$66:$L$76,2,FALSE)</f>
        <v>#N/A</v>
      </c>
      <c r="D915" s="81" t="e">
        <f ca="1">VLOOKUP(B915,Calc!$K$77:$L$87,2,FALSE)</f>
        <v>#N/A</v>
      </c>
      <c r="E915" s="523" t="e">
        <f ca="1">VLOOKUP(B915,Calc!$K$88:$L$98,2,FALSE)</f>
        <v>#N/A</v>
      </c>
      <c r="F915" s="523" t="e">
        <f ca="1">IF(Errorhandling!$C$42,INDEX(Calc!$J$99:$J$109,MATCH(Display!B915,Calc!$K$99:$K$109,0),1),#N/A)</f>
        <v>#N/A</v>
      </c>
    </row>
    <row r="916" spans="2:6" x14ac:dyDescent="0.2">
      <c r="B916" s="6">
        <f t="shared" si="18"/>
        <v>913</v>
      </c>
      <c r="C916" s="81" t="e">
        <f ca="1">VLOOKUP(B916,Calc!$K$66:$L$76,2,FALSE)</f>
        <v>#N/A</v>
      </c>
      <c r="D916" s="81" t="e">
        <f ca="1">VLOOKUP(B916,Calc!$K$77:$L$87,2,FALSE)</f>
        <v>#N/A</v>
      </c>
      <c r="E916" s="523" t="e">
        <f ca="1">VLOOKUP(B916,Calc!$K$88:$L$98,2,FALSE)</f>
        <v>#N/A</v>
      </c>
      <c r="F916" s="523" t="e">
        <f ca="1">IF(Errorhandling!$C$42,INDEX(Calc!$J$99:$J$109,MATCH(Display!B916,Calc!$K$99:$K$109,0),1),#N/A)</f>
        <v>#N/A</v>
      </c>
    </row>
    <row r="917" spans="2:6" x14ac:dyDescent="0.2">
      <c r="B917" s="6">
        <f t="shared" si="18"/>
        <v>914</v>
      </c>
      <c r="C917" s="81" t="e">
        <f ca="1">VLOOKUP(B917,Calc!$K$66:$L$76,2,FALSE)</f>
        <v>#N/A</v>
      </c>
      <c r="D917" s="81" t="e">
        <f ca="1">VLOOKUP(B917,Calc!$K$77:$L$87,2,FALSE)</f>
        <v>#N/A</v>
      </c>
      <c r="E917" s="523" t="e">
        <f ca="1">VLOOKUP(B917,Calc!$K$88:$L$98,2,FALSE)</f>
        <v>#N/A</v>
      </c>
      <c r="F917" s="523" t="e">
        <f ca="1">IF(Errorhandling!$C$42,INDEX(Calc!$J$99:$J$109,MATCH(Display!B917,Calc!$K$99:$K$109,0),1),#N/A)</f>
        <v>#N/A</v>
      </c>
    </row>
    <row r="918" spans="2:6" x14ac:dyDescent="0.2">
      <c r="B918" s="6">
        <f t="shared" si="18"/>
        <v>915</v>
      </c>
      <c r="C918" s="81" t="e">
        <f ca="1">VLOOKUP(B918,Calc!$K$66:$L$76,2,FALSE)</f>
        <v>#N/A</v>
      </c>
      <c r="D918" s="81" t="e">
        <f ca="1">VLOOKUP(B918,Calc!$K$77:$L$87,2,FALSE)</f>
        <v>#N/A</v>
      </c>
      <c r="E918" s="523" t="e">
        <f ca="1">VLOOKUP(B918,Calc!$K$88:$L$98,2,FALSE)</f>
        <v>#N/A</v>
      </c>
      <c r="F918" s="523" t="e">
        <f ca="1">IF(Errorhandling!$C$42,INDEX(Calc!$J$99:$J$109,MATCH(Display!B918,Calc!$K$99:$K$109,0),1),#N/A)</f>
        <v>#N/A</v>
      </c>
    </row>
    <row r="919" spans="2:6" x14ac:dyDescent="0.2">
      <c r="B919" s="6">
        <f t="shared" si="18"/>
        <v>916</v>
      </c>
      <c r="C919" s="81" t="e">
        <f ca="1">VLOOKUP(B919,Calc!$K$66:$L$76,2,FALSE)</f>
        <v>#N/A</v>
      </c>
      <c r="D919" s="81" t="e">
        <f ca="1">VLOOKUP(B919,Calc!$K$77:$L$87,2,FALSE)</f>
        <v>#N/A</v>
      </c>
      <c r="E919" s="523" t="e">
        <f ca="1">VLOOKUP(B919,Calc!$K$88:$L$98,2,FALSE)</f>
        <v>#N/A</v>
      </c>
      <c r="F919" s="523" t="e">
        <f ca="1">IF(Errorhandling!$C$42,INDEX(Calc!$J$99:$J$109,MATCH(Display!B919,Calc!$K$99:$K$109,0),1),#N/A)</f>
        <v>#N/A</v>
      </c>
    </row>
    <row r="920" spans="2:6" x14ac:dyDescent="0.2">
      <c r="B920" s="6">
        <f t="shared" si="18"/>
        <v>917</v>
      </c>
      <c r="C920" s="81" t="e">
        <f ca="1">VLOOKUP(B920,Calc!$K$66:$L$76,2,FALSE)</f>
        <v>#N/A</v>
      </c>
      <c r="D920" s="81" t="e">
        <f ca="1">VLOOKUP(B920,Calc!$K$77:$L$87,2,FALSE)</f>
        <v>#N/A</v>
      </c>
      <c r="E920" s="523" t="e">
        <f ca="1">VLOOKUP(B920,Calc!$K$88:$L$98,2,FALSE)</f>
        <v>#N/A</v>
      </c>
      <c r="F920" s="523" t="e">
        <f ca="1">IF(Errorhandling!$C$42,INDEX(Calc!$J$99:$J$109,MATCH(Display!B920,Calc!$K$99:$K$109,0),1),#N/A)</f>
        <v>#N/A</v>
      </c>
    </row>
    <row r="921" spans="2:6" x14ac:dyDescent="0.2">
      <c r="B921" s="6">
        <f t="shared" si="18"/>
        <v>918</v>
      </c>
      <c r="C921" s="81" t="e">
        <f ca="1">VLOOKUP(B921,Calc!$K$66:$L$76,2,FALSE)</f>
        <v>#N/A</v>
      </c>
      <c r="D921" s="81" t="e">
        <f ca="1">VLOOKUP(B921,Calc!$K$77:$L$87,2,FALSE)</f>
        <v>#N/A</v>
      </c>
      <c r="E921" s="523" t="e">
        <f ca="1">VLOOKUP(B921,Calc!$K$88:$L$98,2,FALSE)</f>
        <v>#N/A</v>
      </c>
      <c r="F921" s="523" t="e">
        <f ca="1">IF(Errorhandling!$C$42,INDEX(Calc!$J$99:$J$109,MATCH(Display!B921,Calc!$K$99:$K$109,0),1),#N/A)</f>
        <v>#N/A</v>
      </c>
    </row>
    <row r="922" spans="2:6" x14ac:dyDescent="0.2">
      <c r="B922" s="6">
        <f t="shared" si="18"/>
        <v>919</v>
      </c>
      <c r="C922" s="81" t="e">
        <f ca="1">VLOOKUP(B922,Calc!$K$66:$L$76,2,FALSE)</f>
        <v>#N/A</v>
      </c>
      <c r="D922" s="81" t="e">
        <f ca="1">VLOOKUP(B922,Calc!$K$77:$L$87,2,FALSE)</f>
        <v>#N/A</v>
      </c>
      <c r="E922" s="523" t="e">
        <f ca="1">VLOOKUP(B922,Calc!$K$88:$L$98,2,FALSE)</f>
        <v>#N/A</v>
      </c>
      <c r="F922" s="523" t="e">
        <f ca="1">IF(Errorhandling!$C$42,INDEX(Calc!$J$99:$J$109,MATCH(Display!B922,Calc!$K$99:$K$109,0),1),#N/A)</f>
        <v>#N/A</v>
      </c>
    </row>
    <row r="923" spans="2:6" x14ac:dyDescent="0.2">
      <c r="B923" s="6">
        <f t="shared" si="18"/>
        <v>920</v>
      </c>
      <c r="C923" s="81" t="e">
        <f ca="1">VLOOKUP(B923,Calc!$K$66:$L$76,2,FALSE)</f>
        <v>#N/A</v>
      </c>
      <c r="D923" s="81" t="e">
        <f ca="1">VLOOKUP(B923,Calc!$K$77:$L$87,2,FALSE)</f>
        <v>#N/A</v>
      </c>
      <c r="E923" s="523" t="e">
        <f ca="1">VLOOKUP(B923,Calc!$K$88:$L$98,2,FALSE)</f>
        <v>#N/A</v>
      </c>
      <c r="F923" s="523" t="e">
        <f ca="1">IF(Errorhandling!$C$42,INDEX(Calc!$J$99:$J$109,MATCH(Display!B923,Calc!$K$99:$K$109,0),1),#N/A)</f>
        <v>#N/A</v>
      </c>
    </row>
    <row r="924" spans="2:6" x14ac:dyDescent="0.2">
      <c r="B924" s="6">
        <f t="shared" si="18"/>
        <v>921</v>
      </c>
      <c r="C924" s="81" t="e">
        <f ca="1">VLOOKUP(B924,Calc!$K$66:$L$76,2,FALSE)</f>
        <v>#N/A</v>
      </c>
      <c r="D924" s="81" t="e">
        <f ca="1">VLOOKUP(B924,Calc!$K$77:$L$87,2,FALSE)</f>
        <v>#N/A</v>
      </c>
      <c r="E924" s="523" t="e">
        <f ca="1">VLOOKUP(B924,Calc!$K$88:$L$98,2,FALSE)</f>
        <v>#N/A</v>
      </c>
      <c r="F924" s="523" t="e">
        <f ca="1">IF(Errorhandling!$C$42,INDEX(Calc!$J$99:$J$109,MATCH(Display!B924,Calc!$K$99:$K$109,0),1),#N/A)</f>
        <v>#N/A</v>
      </c>
    </row>
    <row r="925" spans="2:6" x14ac:dyDescent="0.2">
      <c r="B925" s="6">
        <f t="shared" si="18"/>
        <v>922</v>
      </c>
      <c r="C925" s="81" t="e">
        <f ca="1">VLOOKUP(B925,Calc!$K$66:$L$76,2,FALSE)</f>
        <v>#N/A</v>
      </c>
      <c r="D925" s="81" t="e">
        <f ca="1">VLOOKUP(B925,Calc!$K$77:$L$87,2,FALSE)</f>
        <v>#N/A</v>
      </c>
      <c r="E925" s="523" t="e">
        <f ca="1">VLOOKUP(B925,Calc!$K$88:$L$98,2,FALSE)</f>
        <v>#N/A</v>
      </c>
      <c r="F925" s="523" t="e">
        <f ca="1">IF(Errorhandling!$C$42,INDEX(Calc!$J$99:$J$109,MATCH(Display!B925,Calc!$K$99:$K$109,0),1),#N/A)</f>
        <v>#N/A</v>
      </c>
    </row>
    <row r="926" spans="2:6" x14ac:dyDescent="0.2">
      <c r="B926" s="6">
        <f t="shared" si="18"/>
        <v>923</v>
      </c>
      <c r="C926" s="81" t="e">
        <f ca="1">VLOOKUP(B926,Calc!$K$66:$L$76,2,FALSE)</f>
        <v>#N/A</v>
      </c>
      <c r="D926" s="81" t="e">
        <f ca="1">VLOOKUP(B926,Calc!$K$77:$L$87,2,FALSE)</f>
        <v>#N/A</v>
      </c>
      <c r="E926" s="523" t="e">
        <f ca="1">VLOOKUP(B926,Calc!$K$88:$L$98,2,FALSE)</f>
        <v>#N/A</v>
      </c>
      <c r="F926" s="523" t="e">
        <f ca="1">IF(Errorhandling!$C$42,INDEX(Calc!$J$99:$J$109,MATCH(Display!B926,Calc!$K$99:$K$109,0),1),#N/A)</f>
        <v>#N/A</v>
      </c>
    </row>
    <row r="927" spans="2:6" x14ac:dyDescent="0.2">
      <c r="B927" s="6">
        <f t="shared" si="18"/>
        <v>924</v>
      </c>
      <c r="C927" s="81" t="e">
        <f ca="1">VLOOKUP(B927,Calc!$K$66:$L$76,2,FALSE)</f>
        <v>#N/A</v>
      </c>
      <c r="D927" s="81" t="e">
        <f ca="1">VLOOKUP(B927,Calc!$K$77:$L$87,2,FALSE)</f>
        <v>#N/A</v>
      </c>
      <c r="E927" s="523" t="e">
        <f ca="1">VLOOKUP(B927,Calc!$K$88:$L$98,2,FALSE)</f>
        <v>#N/A</v>
      </c>
      <c r="F927" s="523" t="e">
        <f ca="1">IF(Errorhandling!$C$42,INDEX(Calc!$J$99:$J$109,MATCH(Display!B927,Calc!$K$99:$K$109,0),1),#N/A)</f>
        <v>#N/A</v>
      </c>
    </row>
    <row r="928" spans="2:6" x14ac:dyDescent="0.2">
      <c r="B928" s="6">
        <f t="shared" si="18"/>
        <v>925</v>
      </c>
      <c r="C928" s="81" t="e">
        <f ca="1">VLOOKUP(B928,Calc!$K$66:$L$76,2,FALSE)</f>
        <v>#N/A</v>
      </c>
      <c r="D928" s="81" t="e">
        <f ca="1">VLOOKUP(B928,Calc!$K$77:$L$87,2,FALSE)</f>
        <v>#N/A</v>
      </c>
      <c r="E928" s="523" t="e">
        <f ca="1">VLOOKUP(B928,Calc!$K$88:$L$98,2,FALSE)</f>
        <v>#N/A</v>
      </c>
      <c r="F928" s="523" t="e">
        <f ca="1">IF(Errorhandling!$C$42,INDEX(Calc!$J$99:$J$109,MATCH(Display!B928,Calc!$K$99:$K$109,0),1),#N/A)</f>
        <v>#N/A</v>
      </c>
    </row>
    <row r="929" spans="2:6" x14ac:dyDescent="0.2">
      <c r="B929" s="6">
        <f t="shared" si="18"/>
        <v>926</v>
      </c>
      <c r="C929" s="81" t="e">
        <f ca="1">VLOOKUP(B929,Calc!$K$66:$L$76,2,FALSE)</f>
        <v>#N/A</v>
      </c>
      <c r="D929" s="81" t="e">
        <f ca="1">VLOOKUP(B929,Calc!$K$77:$L$87,2,FALSE)</f>
        <v>#N/A</v>
      </c>
      <c r="E929" s="523" t="e">
        <f ca="1">VLOOKUP(B929,Calc!$K$88:$L$98,2,FALSE)</f>
        <v>#N/A</v>
      </c>
      <c r="F929" s="523" t="e">
        <f ca="1">IF(Errorhandling!$C$42,INDEX(Calc!$J$99:$J$109,MATCH(Display!B929,Calc!$K$99:$K$109,0),1),#N/A)</f>
        <v>#N/A</v>
      </c>
    </row>
    <row r="930" spans="2:6" x14ac:dyDescent="0.2">
      <c r="B930" s="6">
        <f t="shared" si="18"/>
        <v>927</v>
      </c>
      <c r="C930" s="81" t="e">
        <f ca="1">VLOOKUP(B930,Calc!$K$66:$L$76,2,FALSE)</f>
        <v>#N/A</v>
      </c>
      <c r="D930" s="81" t="e">
        <f ca="1">VLOOKUP(B930,Calc!$K$77:$L$87,2,FALSE)</f>
        <v>#N/A</v>
      </c>
      <c r="E930" s="523" t="e">
        <f ca="1">VLOOKUP(B930,Calc!$K$88:$L$98,2,FALSE)</f>
        <v>#N/A</v>
      </c>
      <c r="F930" s="523" t="e">
        <f ca="1">IF(Errorhandling!$C$42,INDEX(Calc!$J$99:$J$109,MATCH(Display!B930,Calc!$K$99:$K$109,0),1),#N/A)</f>
        <v>#N/A</v>
      </c>
    </row>
    <row r="931" spans="2:6" x14ac:dyDescent="0.2">
      <c r="B931" s="6">
        <f t="shared" si="18"/>
        <v>928</v>
      </c>
      <c r="C931" s="81" t="e">
        <f ca="1">VLOOKUP(B931,Calc!$K$66:$L$76,2,FALSE)</f>
        <v>#N/A</v>
      </c>
      <c r="D931" s="81" t="e">
        <f ca="1">VLOOKUP(B931,Calc!$K$77:$L$87,2,FALSE)</f>
        <v>#N/A</v>
      </c>
      <c r="E931" s="523" t="e">
        <f ca="1">VLOOKUP(B931,Calc!$K$88:$L$98,2,FALSE)</f>
        <v>#N/A</v>
      </c>
      <c r="F931" s="523" t="e">
        <f ca="1">IF(Errorhandling!$C$42,INDEX(Calc!$J$99:$J$109,MATCH(Display!B931,Calc!$K$99:$K$109,0),1),#N/A)</f>
        <v>#N/A</v>
      </c>
    </row>
    <row r="932" spans="2:6" x14ac:dyDescent="0.2">
      <c r="B932" s="6">
        <f t="shared" si="18"/>
        <v>929</v>
      </c>
      <c r="C932" s="81" t="e">
        <f ca="1">VLOOKUP(B932,Calc!$K$66:$L$76,2,FALSE)</f>
        <v>#N/A</v>
      </c>
      <c r="D932" s="81" t="e">
        <f ca="1">VLOOKUP(B932,Calc!$K$77:$L$87,2,FALSE)</f>
        <v>#N/A</v>
      </c>
      <c r="E932" s="523" t="e">
        <f ca="1">VLOOKUP(B932,Calc!$K$88:$L$98,2,FALSE)</f>
        <v>#N/A</v>
      </c>
      <c r="F932" s="523" t="e">
        <f ca="1">IF(Errorhandling!$C$42,INDEX(Calc!$J$99:$J$109,MATCH(Display!B932,Calc!$K$99:$K$109,0),1),#N/A)</f>
        <v>#N/A</v>
      </c>
    </row>
    <row r="933" spans="2:6" x14ac:dyDescent="0.2">
      <c r="B933" s="6">
        <f t="shared" si="18"/>
        <v>930</v>
      </c>
      <c r="C933" s="81" t="e">
        <f ca="1">VLOOKUP(B933,Calc!$K$66:$L$76,2,FALSE)</f>
        <v>#N/A</v>
      </c>
      <c r="D933" s="81" t="e">
        <f ca="1">VLOOKUP(B933,Calc!$K$77:$L$87,2,FALSE)</f>
        <v>#N/A</v>
      </c>
      <c r="E933" s="523" t="e">
        <f ca="1">VLOOKUP(B933,Calc!$K$88:$L$98,2,FALSE)</f>
        <v>#N/A</v>
      </c>
      <c r="F933" s="523" t="e">
        <f ca="1">IF(Errorhandling!$C$42,INDEX(Calc!$J$99:$J$109,MATCH(Display!B933,Calc!$K$99:$K$109,0),1),#N/A)</f>
        <v>#N/A</v>
      </c>
    </row>
    <row r="934" spans="2:6" x14ac:dyDescent="0.2">
      <c r="B934" s="6">
        <f t="shared" si="18"/>
        <v>931</v>
      </c>
      <c r="C934" s="81" t="e">
        <f ca="1">VLOOKUP(B934,Calc!$K$66:$L$76,2,FALSE)</f>
        <v>#N/A</v>
      </c>
      <c r="D934" s="81" t="e">
        <f ca="1">VLOOKUP(B934,Calc!$K$77:$L$87,2,FALSE)</f>
        <v>#N/A</v>
      </c>
      <c r="E934" s="523" t="e">
        <f ca="1">VLOOKUP(B934,Calc!$K$88:$L$98,2,FALSE)</f>
        <v>#N/A</v>
      </c>
      <c r="F934" s="523" t="e">
        <f ca="1">IF(Errorhandling!$C$42,INDEX(Calc!$J$99:$J$109,MATCH(Display!B934,Calc!$K$99:$K$109,0),1),#N/A)</f>
        <v>#N/A</v>
      </c>
    </row>
    <row r="935" spans="2:6" x14ac:dyDescent="0.2">
      <c r="B935" s="6">
        <f t="shared" si="18"/>
        <v>932</v>
      </c>
      <c r="C935" s="81" t="e">
        <f ca="1">VLOOKUP(B935,Calc!$K$66:$L$76,2,FALSE)</f>
        <v>#N/A</v>
      </c>
      <c r="D935" s="81" t="e">
        <f ca="1">VLOOKUP(B935,Calc!$K$77:$L$87,2,FALSE)</f>
        <v>#N/A</v>
      </c>
      <c r="E935" s="523" t="e">
        <f ca="1">VLOOKUP(B935,Calc!$K$88:$L$98,2,FALSE)</f>
        <v>#N/A</v>
      </c>
      <c r="F935" s="523" t="e">
        <f ca="1">IF(Errorhandling!$C$42,INDEX(Calc!$J$99:$J$109,MATCH(Display!B935,Calc!$K$99:$K$109,0),1),#N/A)</f>
        <v>#N/A</v>
      </c>
    </row>
    <row r="936" spans="2:6" x14ac:dyDescent="0.2">
      <c r="B936" s="6">
        <f t="shared" si="18"/>
        <v>933</v>
      </c>
      <c r="C936" s="81" t="e">
        <f ca="1">VLOOKUP(B936,Calc!$K$66:$L$76,2,FALSE)</f>
        <v>#N/A</v>
      </c>
      <c r="D936" s="81" t="e">
        <f ca="1">VLOOKUP(B936,Calc!$K$77:$L$87,2,FALSE)</f>
        <v>#N/A</v>
      </c>
      <c r="E936" s="523" t="e">
        <f ca="1">VLOOKUP(B936,Calc!$K$88:$L$98,2,FALSE)</f>
        <v>#N/A</v>
      </c>
      <c r="F936" s="523" t="e">
        <f ca="1">IF(Errorhandling!$C$42,INDEX(Calc!$J$99:$J$109,MATCH(Display!B936,Calc!$K$99:$K$109,0),1),#N/A)</f>
        <v>#N/A</v>
      </c>
    </row>
    <row r="937" spans="2:6" x14ac:dyDescent="0.2">
      <c r="B937" s="6">
        <f t="shared" si="18"/>
        <v>934</v>
      </c>
      <c r="C937" s="81" t="e">
        <f ca="1">VLOOKUP(B937,Calc!$K$66:$L$76,2,FALSE)</f>
        <v>#N/A</v>
      </c>
      <c r="D937" s="81" t="e">
        <f ca="1">VLOOKUP(B937,Calc!$K$77:$L$87,2,FALSE)</f>
        <v>#N/A</v>
      </c>
      <c r="E937" s="523" t="e">
        <f ca="1">VLOOKUP(B937,Calc!$K$88:$L$98,2,FALSE)</f>
        <v>#N/A</v>
      </c>
      <c r="F937" s="523" t="e">
        <f ca="1">IF(Errorhandling!$C$42,INDEX(Calc!$J$99:$J$109,MATCH(Display!B937,Calc!$K$99:$K$109,0),1),#N/A)</f>
        <v>#N/A</v>
      </c>
    </row>
    <row r="938" spans="2:6" x14ac:dyDescent="0.2">
      <c r="B938" s="6">
        <f t="shared" si="18"/>
        <v>935</v>
      </c>
      <c r="C938" s="81" t="e">
        <f ca="1">VLOOKUP(B938,Calc!$K$66:$L$76,2,FALSE)</f>
        <v>#N/A</v>
      </c>
      <c r="D938" s="81" t="e">
        <f ca="1">VLOOKUP(B938,Calc!$K$77:$L$87,2,FALSE)</f>
        <v>#N/A</v>
      </c>
      <c r="E938" s="523" t="e">
        <f ca="1">VLOOKUP(B938,Calc!$K$88:$L$98,2,FALSE)</f>
        <v>#N/A</v>
      </c>
      <c r="F938" s="523" t="e">
        <f ca="1">IF(Errorhandling!$C$42,INDEX(Calc!$J$99:$J$109,MATCH(Display!B938,Calc!$K$99:$K$109,0),1),#N/A)</f>
        <v>#N/A</v>
      </c>
    </row>
    <row r="939" spans="2:6" x14ac:dyDescent="0.2">
      <c r="B939" s="6">
        <f t="shared" si="18"/>
        <v>936</v>
      </c>
      <c r="C939" s="81" t="e">
        <f ca="1">VLOOKUP(B939,Calc!$K$66:$L$76,2,FALSE)</f>
        <v>#N/A</v>
      </c>
      <c r="D939" s="81" t="e">
        <f ca="1">VLOOKUP(B939,Calc!$K$77:$L$87,2,FALSE)</f>
        <v>#N/A</v>
      </c>
      <c r="E939" s="523" t="e">
        <f ca="1">VLOOKUP(B939,Calc!$K$88:$L$98,2,FALSE)</f>
        <v>#N/A</v>
      </c>
      <c r="F939" s="523" t="e">
        <f ca="1">IF(Errorhandling!$C$42,INDEX(Calc!$J$99:$J$109,MATCH(Display!B939,Calc!$K$99:$K$109,0),1),#N/A)</f>
        <v>#N/A</v>
      </c>
    </row>
    <row r="940" spans="2:6" x14ac:dyDescent="0.2">
      <c r="B940" s="6">
        <f t="shared" si="18"/>
        <v>937</v>
      </c>
      <c r="C940" s="81" t="e">
        <f ca="1">VLOOKUP(B940,Calc!$K$66:$L$76,2,FALSE)</f>
        <v>#N/A</v>
      </c>
      <c r="D940" s="81" t="e">
        <f ca="1">VLOOKUP(B940,Calc!$K$77:$L$87,2,FALSE)</f>
        <v>#N/A</v>
      </c>
      <c r="E940" s="523" t="e">
        <f ca="1">VLOOKUP(B940,Calc!$K$88:$L$98,2,FALSE)</f>
        <v>#N/A</v>
      </c>
      <c r="F940" s="523" t="e">
        <f ca="1">IF(Errorhandling!$C$42,INDEX(Calc!$J$99:$J$109,MATCH(Display!B940,Calc!$K$99:$K$109,0),1),#N/A)</f>
        <v>#N/A</v>
      </c>
    </row>
    <row r="941" spans="2:6" x14ac:dyDescent="0.2">
      <c r="B941" s="6">
        <f t="shared" si="18"/>
        <v>938</v>
      </c>
      <c r="C941" s="81" t="e">
        <f ca="1">VLOOKUP(B941,Calc!$K$66:$L$76,2,FALSE)</f>
        <v>#N/A</v>
      </c>
      <c r="D941" s="81" t="e">
        <f ca="1">VLOOKUP(B941,Calc!$K$77:$L$87,2,FALSE)</f>
        <v>#N/A</v>
      </c>
      <c r="E941" s="523" t="e">
        <f ca="1">VLOOKUP(B941,Calc!$K$88:$L$98,2,FALSE)</f>
        <v>#N/A</v>
      </c>
      <c r="F941" s="523" t="e">
        <f ca="1">IF(Errorhandling!$C$42,INDEX(Calc!$J$99:$J$109,MATCH(Display!B941,Calc!$K$99:$K$109,0),1),#N/A)</f>
        <v>#N/A</v>
      </c>
    </row>
    <row r="942" spans="2:6" x14ac:dyDescent="0.2">
      <c r="B942" s="6">
        <f t="shared" si="18"/>
        <v>939</v>
      </c>
      <c r="C942" s="81" t="e">
        <f ca="1">VLOOKUP(B942,Calc!$K$66:$L$76,2,FALSE)</f>
        <v>#N/A</v>
      </c>
      <c r="D942" s="81" t="e">
        <f ca="1">VLOOKUP(B942,Calc!$K$77:$L$87,2,FALSE)</f>
        <v>#N/A</v>
      </c>
      <c r="E942" s="523" t="e">
        <f ca="1">VLOOKUP(B942,Calc!$K$88:$L$98,2,FALSE)</f>
        <v>#N/A</v>
      </c>
      <c r="F942" s="523" t="e">
        <f ca="1">IF(Errorhandling!$C$42,INDEX(Calc!$J$99:$J$109,MATCH(Display!B942,Calc!$K$99:$K$109,0),1),#N/A)</f>
        <v>#N/A</v>
      </c>
    </row>
    <row r="943" spans="2:6" x14ac:dyDescent="0.2">
      <c r="B943" s="6">
        <f t="shared" si="18"/>
        <v>940</v>
      </c>
      <c r="C943" s="81" t="e">
        <f ca="1">VLOOKUP(B943,Calc!$K$66:$L$76,2,FALSE)</f>
        <v>#N/A</v>
      </c>
      <c r="D943" s="81" t="e">
        <f ca="1">VLOOKUP(B943,Calc!$K$77:$L$87,2,FALSE)</f>
        <v>#N/A</v>
      </c>
      <c r="E943" s="523" t="e">
        <f ca="1">VLOOKUP(B943,Calc!$K$88:$L$98,2,FALSE)</f>
        <v>#N/A</v>
      </c>
      <c r="F943" s="523" t="e">
        <f ca="1">IF(Errorhandling!$C$42,INDEX(Calc!$J$99:$J$109,MATCH(Display!B943,Calc!$K$99:$K$109,0),1),#N/A)</f>
        <v>#N/A</v>
      </c>
    </row>
    <row r="944" spans="2:6" x14ac:dyDescent="0.2">
      <c r="B944" s="6">
        <f t="shared" si="18"/>
        <v>941</v>
      </c>
      <c r="C944" s="81" t="e">
        <f ca="1">VLOOKUP(B944,Calc!$K$66:$L$76,2,FALSE)</f>
        <v>#N/A</v>
      </c>
      <c r="D944" s="81" t="e">
        <f ca="1">VLOOKUP(B944,Calc!$K$77:$L$87,2,FALSE)</f>
        <v>#N/A</v>
      </c>
      <c r="E944" s="523" t="e">
        <f ca="1">VLOOKUP(B944,Calc!$K$88:$L$98,2,FALSE)</f>
        <v>#N/A</v>
      </c>
      <c r="F944" s="523" t="e">
        <f ca="1">IF(Errorhandling!$C$42,INDEX(Calc!$J$99:$J$109,MATCH(Display!B944,Calc!$K$99:$K$109,0),1),#N/A)</f>
        <v>#N/A</v>
      </c>
    </row>
    <row r="945" spans="2:6" x14ac:dyDescent="0.2">
      <c r="B945" s="6">
        <f t="shared" si="18"/>
        <v>942</v>
      </c>
      <c r="C945" s="81" t="e">
        <f ca="1">VLOOKUP(B945,Calc!$K$66:$L$76,2,FALSE)</f>
        <v>#N/A</v>
      </c>
      <c r="D945" s="81" t="e">
        <f ca="1">VLOOKUP(B945,Calc!$K$77:$L$87,2,FALSE)</f>
        <v>#N/A</v>
      </c>
      <c r="E945" s="523" t="e">
        <f ca="1">VLOOKUP(B945,Calc!$K$88:$L$98,2,FALSE)</f>
        <v>#N/A</v>
      </c>
      <c r="F945" s="523" t="e">
        <f ca="1">IF(Errorhandling!$C$42,INDEX(Calc!$J$99:$J$109,MATCH(Display!B945,Calc!$K$99:$K$109,0),1),#N/A)</f>
        <v>#N/A</v>
      </c>
    </row>
    <row r="946" spans="2:6" x14ac:dyDescent="0.2">
      <c r="B946" s="6">
        <f t="shared" si="18"/>
        <v>943</v>
      </c>
      <c r="C946" s="81" t="e">
        <f ca="1">VLOOKUP(B946,Calc!$K$66:$L$76,2,FALSE)</f>
        <v>#N/A</v>
      </c>
      <c r="D946" s="81" t="e">
        <f ca="1">VLOOKUP(B946,Calc!$K$77:$L$87,2,FALSE)</f>
        <v>#N/A</v>
      </c>
      <c r="E946" s="523" t="e">
        <f ca="1">VLOOKUP(B946,Calc!$K$88:$L$98,2,FALSE)</f>
        <v>#N/A</v>
      </c>
      <c r="F946" s="523" t="e">
        <f ca="1">IF(Errorhandling!$C$42,INDEX(Calc!$J$99:$J$109,MATCH(Display!B946,Calc!$K$99:$K$109,0),1),#N/A)</f>
        <v>#N/A</v>
      </c>
    </row>
    <row r="947" spans="2:6" x14ac:dyDescent="0.2">
      <c r="B947" s="6">
        <f t="shared" si="18"/>
        <v>944</v>
      </c>
      <c r="C947" s="81" t="e">
        <f ca="1">VLOOKUP(B947,Calc!$K$66:$L$76,2,FALSE)</f>
        <v>#N/A</v>
      </c>
      <c r="D947" s="81" t="e">
        <f ca="1">VLOOKUP(B947,Calc!$K$77:$L$87,2,FALSE)</f>
        <v>#N/A</v>
      </c>
      <c r="E947" s="523" t="e">
        <f ca="1">VLOOKUP(B947,Calc!$K$88:$L$98,2,FALSE)</f>
        <v>#N/A</v>
      </c>
      <c r="F947" s="523" t="e">
        <f ca="1">IF(Errorhandling!$C$42,INDEX(Calc!$J$99:$J$109,MATCH(Display!B947,Calc!$K$99:$K$109,0),1),#N/A)</f>
        <v>#N/A</v>
      </c>
    </row>
    <row r="948" spans="2:6" x14ac:dyDescent="0.2">
      <c r="B948" s="6">
        <f t="shared" si="18"/>
        <v>945</v>
      </c>
      <c r="C948" s="81" t="e">
        <f ca="1">VLOOKUP(B948,Calc!$K$66:$L$76,2,FALSE)</f>
        <v>#N/A</v>
      </c>
      <c r="D948" s="81" t="e">
        <f ca="1">VLOOKUP(B948,Calc!$K$77:$L$87,2,FALSE)</f>
        <v>#N/A</v>
      </c>
      <c r="E948" s="523" t="e">
        <f ca="1">VLOOKUP(B948,Calc!$K$88:$L$98,2,FALSE)</f>
        <v>#N/A</v>
      </c>
      <c r="F948" s="523" t="e">
        <f ca="1">IF(Errorhandling!$C$42,INDEX(Calc!$J$99:$J$109,MATCH(Display!B948,Calc!$K$99:$K$109,0),1),#N/A)</f>
        <v>#N/A</v>
      </c>
    </row>
    <row r="949" spans="2:6" x14ac:dyDescent="0.2">
      <c r="B949" s="6">
        <f t="shared" si="18"/>
        <v>946</v>
      </c>
      <c r="C949" s="81" t="e">
        <f ca="1">VLOOKUP(B949,Calc!$K$66:$L$76,2,FALSE)</f>
        <v>#N/A</v>
      </c>
      <c r="D949" s="81" t="e">
        <f ca="1">VLOOKUP(B949,Calc!$K$77:$L$87,2,FALSE)</f>
        <v>#N/A</v>
      </c>
      <c r="E949" s="523" t="e">
        <f ca="1">VLOOKUP(B949,Calc!$K$88:$L$98,2,FALSE)</f>
        <v>#N/A</v>
      </c>
      <c r="F949" s="523" t="e">
        <f ca="1">IF(Errorhandling!$C$42,INDEX(Calc!$J$99:$J$109,MATCH(Display!B949,Calc!$K$99:$K$109,0),1),#N/A)</f>
        <v>#N/A</v>
      </c>
    </row>
    <row r="950" spans="2:6" x14ac:dyDescent="0.2">
      <c r="B950" s="6">
        <f t="shared" si="18"/>
        <v>947</v>
      </c>
      <c r="C950" s="81" t="e">
        <f ca="1">VLOOKUP(B950,Calc!$K$66:$L$76,2,FALSE)</f>
        <v>#N/A</v>
      </c>
      <c r="D950" s="81" t="e">
        <f ca="1">VLOOKUP(B950,Calc!$K$77:$L$87,2,FALSE)</f>
        <v>#N/A</v>
      </c>
      <c r="E950" s="523" t="e">
        <f ca="1">VLOOKUP(B950,Calc!$K$88:$L$98,2,FALSE)</f>
        <v>#N/A</v>
      </c>
      <c r="F950" s="523" t="e">
        <f ca="1">IF(Errorhandling!$C$42,INDEX(Calc!$J$99:$J$109,MATCH(Display!B950,Calc!$K$99:$K$109,0),1),#N/A)</f>
        <v>#N/A</v>
      </c>
    </row>
    <row r="951" spans="2:6" x14ac:dyDescent="0.2">
      <c r="B951" s="6">
        <f t="shared" si="18"/>
        <v>948</v>
      </c>
      <c r="C951" s="81" t="e">
        <f ca="1">VLOOKUP(B951,Calc!$K$66:$L$76,2,FALSE)</f>
        <v>#N/A</v>
      </c>
      <c r="D951" s="81" t="e">
        <f ca="1">VLOOKUP(B951,Calc!$K$77:$L$87,2,FALSE)</f>
        <v>#N/A</v>
      </c>
      <c r="E951" s="523" t="e">
        <f ca="1">VLOOKUP(B951,Calc!$K$88:$L$98,2,FALSE)</f>
        <v>#N/A</v>
      </c>
      <c r="F951" s="523" t="e">
        <f ca="1">IF(Errorhandling!$C$42,INDEX(Calc!$J$99:$J$109,MATCH(Display!B951,Calc!$K$99:$K$109,0),1),#N/A)</f>
        <v>#N/A</v>
      </c>
    </row>
    <row r="952" spans="2:6" x14ac:dyDescent="0.2">
      <c r="B952" s="6">
        <f t="shared" si="18"/>
        <v>949</v>
      </c>
      <c r="C952" s="81" t="e">
        <f ca="1">VLOOKUP(B952,Calc!$K$66:$L$76,2,FALSE)</f>
        <v>#N/A</v>
      </c>
      <c r="D952" s="81" t="e">
        <f ca="1">VLOOKUP(B952,Calc!$K$77:$L$87,2,FALSE)</f>
        <v>#N/A</v>
      </c>
      <c r="E952" s="523" t="e">
        <f ca="1">VLOOKUP(B952,Calc!$K$88:$L$98,2,FALSE)</f>
        <v>#N/A</v>
      </c>
      <c r="F952" s="523" t="e">
        <f ca="1">IF(Errorhandling!$C$42,INDEX(Calc!$J$99:$J$109,MATCH(Display!B952,Calc!$K$99:$K$109,0),1),#N/A)</f>
        <v>#N/A</v>
      </c>
    </row>
    <row r="953" spans="2:6" x14ac:dyDescent="0.2">
      <c r="B953" s="6">
        <f t="shared" si="18"/>
        <v>950</v>
      </c>
      <c r="C953" s="81" t="e">
        <f ca="1">VLOOKUP(B953,Calc!$K$66:$L$76,2,FALSE)</f>
        <v>#N/A</v>
      </c>
      <c r="D953" s="81" t="e">
        <f ca="1">VLOOKUP(B953,Calc!$K$77:$L$87,2,FALSE)</f>
        <v>#N/A</v>
      </c>
      <c r="E953" s="523" t="e">
        <f ca="1">VLOOKUP(B953,Calc!$K$88:$L$98,2,FALSE)</f>
        <v>#N/A</v>
      </c>
      <c r="F953" s="523" t="e">
        <f ca="1">IF(Errorhandling!$C$42,INDEX(Calc!$J$99:$J$109,MATCH(Display!B953,Calc!$K$99:$K$109,0),1),#N/A)</f>
        <v>#N/A</v>
      </c>
    </row>
    <row r="954" spans="2:6" x14ac:dyDescent="0.2">
      <c r="B954" s="6">
        <f t="shared" si="18"/>
        <v>951</v>
      </c>
      <c r="C954" s="81" t="e">
        <f ca="1">VLOOKUP(B954,Calc!$K$66:$L$76,2,FALSE)</f>
        <v>#N/A</v>
      </c>
      <c r="D954" s="81" t="e">
        <f ca="1">VLOOKUP(B954,Calc!$K$77:$L$87,2,FALSE)</f>
        <v>#N/A</v>
      </c>
      <c r="E954" s="523" t="e">
        <f ca="1">VLOOKUP(B954,Calc!$K$88:$L$98,2,FALSE)</f>
        <v>#N/A</v>
      </c>
      <c r="F954" s="523" t="e">
        <f ca="1">IF(Errorhandling!$C$42,INDEX(Calc!$J$99:$J$109,MATCH(Display!B954,Calc!$K$99:$K$109,0),1),#N/A)</f>
        <v>#N/A</v>
      </c>
    </row>
    <row r="955" spans="2:6" x14ac:dyDescent="0.2">
      <c r="B955" s="6">
        <f t="shared" si="18"/>
        <v>952</v>
      </c>
      <c r="C955" s="81" t="e">
        <f ca="1">VLOOKUP(B955,Calc!$K$66:$L$76,2,FALSE)</f>
        <v>#N/A</v>
      </c>
      <c r="D955" s="81" t="e">
        <f ca="1">VLOOKUP(B955,Calc!$K$77:$L$87,2,FALSE)</f>
        <v>#N/A</v>
      </c>
      <c r="E955" s="523" t="e">
        <f ca="1">VLOOKUP(B955,Calc!$K$88:$L$98,2,FALSE)</f>
        <v>#N/A</v>
      </c>
      <c r="F955" s="523" t="e">
        <f ca="1">IF(Errorhandling!$C$42,INDEX(Calc!$J$99:$J$109,MATCH(Display!B955,Calc!$K$99:$K$109,0),1),#N/A)</f>
        <v>#N/A</v>
      </c>
    </row>
    <row r="956" spans="2:6" x14ac:dyDescent="0.2">
      <c r="B956" s="6">
        <f t="shared" si="18"/>
        <v>953</v>
      </c>
      <c r="C956" s="81" t="e">
        <f ca="1">VLOOKUP(B956,Calc!$K$66:$L$76,2,FALSE)</f>
        <v>#N/A</v>
      </c>
      <c r="D956" s="81" t="e">
        <f ca="1">VLOOKUP(B956,Calc!$K$77:$L$87,2,FALSE)</f>
        <v>#N/A</v>
      </c>
      <c r="E956" s="523" t="e">
        <f ca="1">VLOOKUP(B956,Calc!$K$88:$L$98,2,FALSE)</f>
        <v>#N/A</v>
      </c>
      <c r="F956" s="523" t="e">
        <f ca="1">IF(Errorhandling!$C$42,INDEX(Calc!$J$99:$J$109,MATCH(Display!B956,Calc!$K$99:$K$109,0),1),#N/A)</f>
        <v>#N/A</v>
      </c>
    </row>
    <row r="957" spans="2:6" x14ac:dyDescent="0.2">
      <c r="B957" s="6">
        <f t="shared" si="18"/>
        <v>954</v>
      </c>
      <c r="C957" s="81" t="e">
        <f ca="1">VLOOKUP(B957,Calc!$K$66:$L$76,2,FALSE)</f>
        <v>#N/A</v>
      </c>
      <c r="D957" s="81" t="e">
        <f ca="1">VLOOKUP(B957,Calc!$K$77:$L$87,2,FALSE)</f>
        <v>#N/A</v>
      </c>
      <c r="E957" s="523" t="e">
        <f ca="1">VLOOKUP(B957,Calc!$K$88:$L$98,2,FALSE)</f>
        <v>#N/A</v>
      </c>
      <c r="F957" s="523" t="e">
        <f ca="1">IF(Errorhandling!$C$42,INDEX(Calc!$J$99:$J$109,MATCH(Display!B957,Calc!$K$99:$K$109,0),1),#N/A)</f>
        <v>#N/A</v>
      </c>
    </row>
    <row r="958" spans="2:6" x14ac:dyDescent="0.2">
      <c r="B958" s="6">
        <f t="shared" si="18"/>
        <v>955</v>
      </c>
      <c r="C958" s="81" t="e">
        <f ca="1">VLOOKUP(B958,Calc!$K$66:$L$76,2,FALSE)</f>
        <v>#N/A</v>
      </c>
      <c r="D958" s="81" t="e">
        <f ca="1">VLOOKUP(B958,Calc!$K$77:$L$87,2,FALSE)</f>
        <v>#N/A</v>
      </c>
      <c r="E958" s="523" t="e">
        <f ca="1">VLOOKUP(B958,Calc!$K$88:$L$98,2,FALSE)</f>
        <v>#N/A</v>
      </c>
      <c r="F958" s="523" t="e">
        <f ca="1">IF(Errorhandling!$C$42,INDEX(Calc!$J$99:$J$109,MATCH(Display!B958,Calc!$K$99:$K$109,0),1),#N/A)</f>
        <v>#N/A</v>
      </c>
    </row>
    <row r="959" spans="2:6" x14ac:dyDescent="0.2">
      <c r="B959" s="6">
        <f t="shared" si="18"/>
        <v>956</v>
      </c>
      <c r="C959" s="81" t="e">
        <f ca="1">VLOOKUP(B959,Calc!$K$66:$L$76,2,FALSE)</f>
        <v>#N/A</v>
      </c>
      <c r="D959" s="81" t="e">
        <f ca="1">VLOOKUP(B959,Calc!$K$77:$L$87,2,FALSE)</f>
        <v>#N/A</v>
      </c>
      <c r="E959" s="523" t="e">
        <f ca="1">VLOOKUP(B959,Calc!$K$88:$L$98,2,FALSE)</f>
        <v>#N/A</v>
      </c>
      <c r="F959" s="523" t="e">
        <f ca="1">IF(Errorhandling!$C$42,INDEX(Calc!$J$99:$J$109,MATCH(Display!B959,Calc!$K$99:$K$109,0),1),#N/A)</f>
        <v>#N/A</v>
      </c>
    </row>
    <row r="960" spans="2:6" x14ac:dyDescent="0.2">
      <c r="B960" s="6">
        <f t="shared" si="18"/>
        <v>957</v>
      </c>
      <c r="C960" s="81" t="e">
        <f ca="1">VLOOKUP(B960,Calc!$K$66:$L$76,2,FALSE)</f>
        <v>#N/A</v>
      </c>
      <c r="D960" s="81" t="e">
        <f ca="1">VLOOKUP(B960,Calc!$K$77:$L$87,2,FALSE)</f>
        <v>#N/A</v>
      </c>
      <c r="E960" s="523" t="e">
        <f ca="1">VLOOKUP(B960,Calc!$K$88:$L$98,2,FALSE)</f>
        <v>#N/A</v>
      </c>
      <c r="F960" s="523" t="e">
        <f ca="1">IF(Errorhandling!$C$42,INDEX(Calc!$J$99:$J$109,MATCH(Display!B960,Calc!$K$99:$K$109,0),1),#N/A)</f>
        <v>#N/A</v>
      </c>
    </row>
    <row r="961" spans="2:6" x14ac:dyDescent="0.2">
      <c r="B961" s="6">
        <f t="shared" si="18"/>
        <v>958</v>
      </c>
      <c r="C961" s="81" t="e">
        <f ca="1">VLOOKUP(B961,Calc!$K$66:$L$76,2,FALSE)</f>
        <v>#N/A</v>
      </c>
      <c r="D961" s="81" t="e">
        <f ca="1">VLOOKUP(B961,Calc!$K$77:$L$87,2,FALSE)</f>
        <v>#N/A</v>
      </c>
      <c r="E961" s="523" t="e">
        <f ca="1">VLOOKUP(B961,Calc!$K$88:$L$98,2,FALSE)</f>
        <v>#N/A</v>
      </c>
      <c r="F961" s="523" t="e">
        <f ca="1">IF(Errorhandling!$C$42,INDEX(Calc!$J$99:$J$109,MATCH(Display!B961,Calc!$K$99:$K$109,0),1),#N/A)</f>
        <v>#N/A</v>
      </c>
    </row>
    <row r="962" spans="2:6" x14ac:dyDescent="0.2">
      <c r="B962" s="6">
        <f t="shared" si="18"/>
        <v>959</v>
      </c>
      <c r="C962" s="81" t="e">
        <f ca="1">VLOOKUP(B962,Calc!$K$66:$L$76,2,FALSE)</f>
        <v>#N/A</v>
      </c>
      <c r="D962" s="81" t="e">
        <f ca="1">VLOOKUP(B962,Calc!$K$77:$L$87,2,FALSE)</f>
        <v>#N/A</v>
      </c>
      <c r="E962" s="523" t="e">
        <f ca="1">VLOOKUP(B962,Calc!$K$88:$L$98,2,FALSE)</f>
        <v>#N/A</v>
      </c>
      <c r="F962" s="523" t="e">
        <f ca="1">IF(Errorhandling!$C$42,INDEX(Calc!$J$99:$J$109,MATCH(Display!B962,Calc!$K$99:$K$109,0),1),#N/A)</f>
        <v>#N/A</v>
      </c>
    </row>
    <row r="963" spans="2:6" x14ac:dyDescent="0.2">
      <c r="B963" s="6">
        <f t="shared" si="18"/>
        <v>960</v>
      </c>
      <c r="C963" s="81" t="e">
        <f ca="1">VLOOKUP(B963,Calc!$K$66:$L$76,2,FALSE)</f>
        <v>#N/A</v>
      </c>
      <c r="D963" s="81" t="e">
        <f ca="1">VLOOKUP(B963,Calc!$K$77:$L$87,2,FALSE)</f>
        <v>#N/A</v>
      </c>
      <c r="E963" s="523" t="e">
        <f ca="1">VLOOKUP(B963,Calc!$K$88:$L$98,2,FALSE)</f>
        <v>#N/A</v>
      </c>
      <c r="F963" s="523" t="e">
        <f ca="1">IF(Errorhandling!$C$42,INDEX(Calc!$J$99:$J$109,MATCH(Display!B963,Calc!$K$99:$K$109,0),1),#N/A)</f>
        <v>#N/A</v>
      </c>
    </row>
    <row r="964" spans="2:6" x14ac:dyDescent="0.2">
      <c r="B964" s="6">
        <f t="shared" si="18"/>
        <v>961</v>
      </c>
      <c r="C964" s="81" t="e">
        <f ca="1">VLOOKUP(B964,Calc!$K$66:$L$76,2,FALSE)</f>
        <v>#N/A</v>
      </c>
      <c r="D964" s="81" t="e">
        <f ca="1">VLOOKUP(B964,Calc!$K$77:$L$87,2,FALSE)</f>
        <v>#N/A</v>
      </c>
      <c r="E964" s="523" t="e">
        <f ca="1">VLOOKUP(B964,Calc!$K$88:$L$98,2,FALSE)</f>
        <v>#N/A</v>
      </c>
      <c r="F964" s="523" t="e">
        <f ca="1">IF(Errorhandling!$C$42,INDEX(Calc!$J$99:$J$109,MATCH(Display!B964,Calc!$K$99:$K$109,0),1),#N/A)</f>
        <v>#N/A</v>
      </c>
    </row>
    <row r="965" spans="2:6" x14ac:dyDescent="0.2">
      <c r="B965" s="6">
        <f t="shared" si="18"/>
        <v>962</v>
      </c>
      <c r="C965" s="81" t="e">
        <f ca="1">VLOOKUP(B965,Calc!$K$66:$L$76,2,FALSE)</f>
        <v>#N/A</v>
      </c>
      <c r="D965" s="81" t="e">
        <f ca="1">VLOOKUP(B965,Calc!$K$77:$L$87,2,FALSE)</f>
        <v>#N/A</v>
      </c>
      <c r="E965" s="523" t="e">
        <f ca="1">VLOOKUP(B965,Calc!$K$88:$L$98,2,FALSE)</f>
        <v>#N/A</v>
      </c>
      <c r="F965" s="523" t="e">
        <f ca="1">IF(Errorhandling!$C$42,INDEX(Calc!$J$99:$J$109,MATCH(Display!B965,Calc!$K$99:$K$109,0),1),#N/A)</f>
        <v>#N/A</v>
      </c>
    </row>
    <row r="966" spans="2:6" x14ac:dyDescent="0.2">
      <c r="B966" s="6">
        <f t="shared" si="18"/>
        <v>963</v>
      </c>
      <c r="C966" s="81" t="e">
        <f ca="1">VLOOKUP(B966,Calc!$K$66:$L$76,2,FALSE)</f>
        <v>#N/A</v>
      </c>
      <c r="D966" s="81" t="e">
        <f ca="1">VLOOKUP(B966,Calc!$K$77:$L$87,2,FALSE)</f>
        <v>#N/A</v>
      </c>
      <c r="E966" s="523" t="e">
        <f ca="1">VLOOKUP(B966,Calc!$K$88:$L$98,2,FALSE)</f>
        <v>#N/A</v>
      </c>
      <c r="F966" s="523" t="e">
        <f ca="1">IF(Errorhandling!$C$42,INDEX(Calc!$J$99:$J$109,MATCH(Display!B966,Calc!$K$99:$K$109,0),1),#N/A)</f>
        <v>#N/A</v>
      </c>
    </row>
    <row r="967" spans="2:6" x14ac:dyDescent="0.2">
      <c r="B967" s="6">
        <f t="shared" ref="B967:B1030" si="19">1+B966</f>
        <v>964</v>
      </c>
      <c r="C967" s="81" t="e">
        <f ca="1">VLOOKUP(B967,Calc!$K$66:$L$76,2,FALSE)</f>
        <v>#N/A</v>
      </c>
      <c r="D967" s="81" t="e">
        <f ca="1">VLOOKUP(B967,Calc!$K$77:$L$87,2,FALSE)</f>
        <v>#N/A</v>
      </c>
      <c r="E967" s="523" t="e">
        <f ca="1">VLOOKUP(B967,Calc!$K$88:$L$98,2,FALSE)</f>
        <v>#N/A</v>
      </c>
      <c r="F967" s="523" t="e">
        <f ca="1">IF(Errorhandling!$C$42,INDEX(Calc!$J$99:$J$109,MATCH(Display!B967,Calc!$K$99:$K$109,0),1),#N/A)</f>
        <v>#N/A</v>
      </c>
    </row>
    <row r="968" spans="2:6" x14ac:dyDescent="0.2">
      <c r="B968" s="6">
        <f t="shared" si="19"/>
        <v>965</v>
      </c>
      <c r="C968" s="81" t="e">
        <f ca="1">VLOOKUP(B968,Calc!$K$66:$L$76,2,FALSE)</f>
        <v>#N/A</v>
      </c>
      <c r="D968" s="81" t="e">
        <f ca="1">VLOOKUP(B968,Calc!$K$77:$L$87,2,FALSE)</f>
        <v>#N/A</v>
      </c>
      <c r="E968" s="523" t="e">
        <f ca="1">VLOOKUP(B968,Calc!$K$88:$L$98,2,FALSE)</f>
        <v>#N/A</v>
      </c>
      <c r="F968" s="523" t="e">
        <f ca="1">IF(Errorhandling!$C$42,INDEX(Calc!$J$99:$J$109,MATCH(Display!B968,Calc!$K$99:$K$109,0),1),#N/A)</f>
        <v>#N/A</v>
      </c>
    </row>
    <row r="969" spans="2:6" x14ac:dyDescent="0.2">
      <c r="B969" s="6">
        <f t="shared" si="19"/>
        <v>966</v>
      </c>
      <c r="C969" s="81" t="e">
        <f ca="1">VLOOKUP(B969,Calc!$K$66:$L$76,2,FALSE)</f>
        <v>#N/A</v>
      </c>
      <c r="D969" s="81" t="e">
        <f ca="1">VLOOKUP(B969,Calc!$K$77:$L$87,2,FALSE)</f>
        <v>#N/A</v>
      </c>
      <c r="E969" s="523" t="e">
        <f ca="1">VLOOKUP(B969,Calc!$K$88:$L$98,2,FALSE)</f>
        <v>#N/A</v>
      </c>
      <c r="F969" s="523" t="e">
        <f ca="1">IF(Errorhandling!$C$42,INDEX(Calc!$J$99:$J$109,MATCH(Display!B969,Calc!$K$99:$K$109,0),1),#N/A)</f>
        <v>#N/A</v>
      </c>
    </row>
    <row r="970" spans="2:6" x14ac:dyDescent="0.2">
      <c r="B970" s="6">
        <f t="shared" si="19"/>
        <v>967</v>
      </c>
      <c r="C970" s="81" t="e">
        <f ca="1">VLOOKUP(B970,Calc!$K$66:$L$76,2,FALSE)</f>
        <v>#N/A</v>
      </c>
      <c r="D970" s="81" t="e">
        <f ca="1">VLOOKUP(B970,Calc!$K$77:$L$87,2,FALSE)</f>
        <v>#N/A</v>
      </c>
      <c r="E970" s="523" t="e">
        <f ca="1">VLOOKUP(B970,Calc!$K$88:$L$98,2,FALSE)</f>
        <v>#N/A</v>
      </c>
      <c r="F970" s="523" t="e">
        <f ca="1">IF(Errorhandling!$C$42,INDEX(Calc!$J$99:$J$109,MATCH(Display!B970,Calc!$K$99:$K$109,0),1),#N/A)</f>
        <v>#N/A</v>
      </c>
    </row>
    <row r="971" spans="2:6" x14ac:dyDescent="0.2">
      <c r="B971" s="6">
        <f t="shared" si="19"/>
        <v>968</v>
      </c>
      <c r="C971" s="81" t="e">
        <f ca="1">VLOOKUP(B971,Calc!$K$66:$L$76,2,FALSE)</f>
        <v>#N/A</v>
      </c>
      <c r="D971" s="81" t="e">
        <f ca="1">VLOOKUP(B971,Calc!$K$77:$L$87,2,FALSE)</f>
        <v>#N/A</v>
      </c>
      <c r="E971" s="523" t="e">
        <f ca="1">VLOOKUP(B971,Calc!$K$88:$L$98,2,FALSE)</f>
        <v>#N/A</v>
      </c>
      <c r="F971" s="523" t="e">
        <f ca="1">IF(Errorhandling!$C$42,INDEX(Calc!$J$99:$J$109,MATCH(Display!B971,Calc!$K$99:$K$109,0),1),#N/A)</f>
        <v>#N/A</v>
      </c>
    </row>
    <row r="972" spans="2:6" x14ac:dyDescent="0.2">
      <c r="B972" s="6">
        <f t="shared" si="19"/>
        <v>969</v>
      </c>
      <c r="C972" s="81" t="e">
        <f ca="1">VLOOKUP(B972,Calc!$K$66:$L$76,2,FALSE)</f>
        <v>#N/A</v>
      </c>
      <c r="D972" s="81" t="e">
        <f ca="1">VLOOKUP(B972,Calc!$K$77:$L$87,2,FALSE)</f>
        <v>#N/A</v>
      </c>
      <c r="E972" s="523" t="e">
        <f ca="1">VLOOKUP(B972,Calc!$K$88:$L$98,2,FALSE)</f>
        <v>#N/A</v>
      </c>
      <c r="F972" s="523" t="e">
        <f ca="1">IF(Errorhandling!$C$42,INDEX(Calc!$J$99:$J$109,MATCH(Display!B972,Calc!$K$99:$K$109,0),1),#N/A)</f>
        <v>#N/A</v>
      </c>
    </row>
    <row r="973" spans="2:6" x14ac:dyDescent="0.2">
      <c r="B973" s="6">
        <f t="shared" si="19"/>
        <v>970</v>
      </c>
      <c r="C973" s="81" t="e">
        <f ca="1">VLOOKUP(B973,Calc!$K$66:$L$76,2,FALSE)</f>
        <v>#N/A</v>
      </c>
      <c r="D973" s="81" t="e">
        <f ca="1">VLOOKUP(B973,Calc!$K$77:$L$87,2,FALSE)</f>
        <v>#N/A</v>
      </c>
      <c r="E973" s="523" t="e">
        <f ca="1">VLOOKUP(B973,Calc!$K$88:$L$98,2,FALSE)</f>
        <v>#N/A</v>
      </c>
      <c r="F973" s="523" t="e">
        <f ca="1">IF(Errorhandling!$C$42,INDEX(Calc!$J$99:$J$109,MATCH(Display!B973,Calc!$K$99:$K$109,0),1),#N/A)</f>
        <v>#N/A</v>
      </c>
    </row>
    <row r="974" spans="2:6" x14ac:dyDescent="0.2">
      <c r="B974" s="6">
        <f t="shared" si="19"/>
        <v>971</v>
      </c>
      <c r="C974" s="81" t="e">
        <f ca="1">VLOOKUP(B974,Calc!$K$66:$L$76,2,FALSE)</f>
        <v>#N/A</v>
      </c>
      <c r="D974" s="81" t="e">
        <f ca="1">VLOOKUP(B974,Calc!$K$77:$L$87,2,FALSE)</f>
        <v>#N/A</v>
      </c>
      <c r="E974" s="523" t="e">
        <f ca="1">VLOOKUP(B974,Calc!$K$88:$L$98,2,FALSE)</f>
        <v>#N/A</v>
      </c>
      <c r="F974" s="523" t="e">
        <f ca="1">IF(Errorhandling!$C$42,INDEX(Calc!$J$99:$J$109,MATCH(Display!B974,Calc!$K$99:$K$109,0),1),#N/A)</f>
        <v>#N/A</v>
      </c>
    </row>
    <row r="975" spans="2:6" x14ac:dyDescent="0.2">
      <c r="B975" s="6">
        <f t="shared" si="19"/>
        <v>972</v>
      </c>
      <c r="C975" s="81" t="e">
        <f ca="1">VLOOKUP(B975,Calc!$K$66:$L$76,2,FALSE)</f>
        <v>#N/A</v>
      </c>
      <c r="D975" s="81" t="e">
        <f ca="1">VLOOKUP(B975,Calc!$K$77:$L$87,2,FALSE)</f>
        <v>#N/A</v>
      </c>
      <c r="E975" s="523" t="e">
        <f ca="1">VLOOKUP(B975,Calc!$K$88:$L$98,2,FALSE)</f>
        <v>#N/A</v>
      </c>
      <c r="F975" s="523" t="e">
        <f ca="1">IF(Errorhandling!$C$42,INDEX(Calc!$J$99:$J$109,MATCH(Display!B975,Calc!$K$99:$K$109,0),1),#N/A)</f>
        <v>#N/A</v>
      </c>
    </row>
    <row r="976" spans="2:6" x14ac:dyDescent="0.2">
      <c r="B976" s="6">
        <f t="shared" si="19"/>
        <v>973</v>
      </c>
      <c r="C976" s="81" t="e">
        <f ca="1">VLOOKUP(B976,Calc!$K$66:$L$76,2,FALSE)</f>
        <v>#N/A</v>
      </c>
      <c r="D976" s="81" t="e">
        <f ca="1">VLOOKUP(B976,Calc!$K$77:$L$87,2,FALSE)</f>
        <v>#N/A</v>
      </c>
      <c r="E976" s="523" t="e">
        <f ca="1">VLOOKUP(B976,Calc!$K$88:$L$98,2,FALSE)</f>
        <v>#N/A</v>
      </c>
      <c r="F976" s="523" t="e">
        <f ca="1">IF(Errorhandling!$C$42,INDEX(Calc!$J$99:$J$109,MATCH(Display!B976,Calc!$K$99:$K$109,0),1),#N/A)</f>
        <v>#N/A</v>
      </c>
    </row>
    <row r="977" spans="2:6" x14ac:dyDescent="0.2">
      <c r="B977" s="6">
        <f t="shared" si="19"/>
        <v>974</v>
      </c>
      <c r="C977" s="81" t="e">
        <f ca="1">VLOOKUP(B977,Calc!$K$66:$L$76,2,FALSE)</f>
        <v>#N/A</v>
      </c>
      <c r="D977" s="81" t="e">
        <f ca="1">VLOOKUP(B977,Calc!$K$77:$L$87,2,FALSE)</f>
        <v>#N/A</v>
      </c>
      <c r="E977" s="523" t="e">
        <f ca="1">VLOOKUP(B977,Calc!$K$88:$L$98,2,FALSE)</f>
        <v>#N/A</v>
      </c>
      <c r="F977" s="523" t="e">
        <f ca="1">IF(Errorhandling!$C$42,INDEX(Calc!$J$99:$J$109,MATCH(Display!B977,Calc!$K$99:$K$109,0),1),#N/A)</f>
        <v>#N/A</v>
      </c>
    </row>
    <row r="978" spans="2:6" x14ac:dyDescent="0.2">
      <c r="B978" s="6">
        <f t="shared" si="19"/>
        <v>975</v>
      </c>
      <c r="C978" s="81" t="e">
        <f ca="1">VLOOKUP(B978,Calc!$K$66:$L$76,2,FALSE)</f>
        <v>#N/A</v>
      </c>
      <c r="D978" s="81" t="e">
        <f ca="1">VLOOKUP(B978,Calc!$K$77:$L$87,2,FALSE)</f>
        <v>#N/A</v>
      </c>
      <c r="E978" s="523">
        <f ca="1">VLOOKUP(B978,Calc!$K$88:$L$98,2,FALSE)</f>
        <v>87.023653149570706</v>
      </c>
      <c r="F978" s="523">
        <f ca="1">IF(Errorhandling!$C$42,INDEX(Calc!$J$99:$J$109,MATCH(Display!B978,Calc!$K$99:$K$109,0),1),#N/A)</f>
        <v>2.7519295426112869E-5</v>
      </c>
    </row>
    <row r="979" spans="2:6" x14ac:dyDescent="0.2">
      <c r="B979" s="6">
        <f t="shared" si="19"/>
        <v>976</v>
      </c>
      <c r="C979" s="81" t="e">
        <f ca="1">VLOOKUP(B979,Calc!$K$66:$L$76,2,FALSE)</f>
        <v>#N/A</v>
      </c>
      <c r="D979" s="81" t="e">
        <f ca="1">VLOOKUP(B979,Calc!$K$77:$L$87,2,FALSE)</f>
        <v>#N/A</v>
      </c>
      <c r="E979" s="523" t="e">
        <f ca="1">VLOOKUP(B979,Calc!$K$88:$L$98,2,FALSE)</f>
        <v>#N/A</v>
      </c>
      <c r="F979" s="523" t="e">
        <f ca="1">IF(Errorhandling!$C$42,INDEX(Calc!$J$99:$J$109,MATCH(Display!B979,Calc!$K$99:$K$109,0),1),#N/A)</f>
        <v>#N/A</v>
      </c>
    </row>
    <row r="980" spans="2:6" x14ac:dyDescent="0.2">
      <c r="B980" s="6">
        <f t="shared" si="19"/>
        <v>977</v>
      </c>
      <c r="C980" s="81" t="e">
        <f ca="1">VLOOKUP(B980,Calc!$K$66:$L$76,2,FALSE)</f>
        <v>#N/A</v>
      </c>
      <c r="D980" s="81" t="e">
        <f ca="1">VLOOKUP(B980,Calc!$K$77:$L$87,2,FALSE)</f>
        <v>#N/A</v>
      </c>
      <c r="E980" s="523" t="e">
        <f ca="1">VLOOKUP(B980,Calc!$K$88:$L$98,2,FALSE)</f>
        <v>#N/A</v>
      </c>
      <c r="F980" s="523" t="e">
        <f ca="1">IF(Errorhandling!$C$42,INDEX(Calc!$J$99:$J$109,MATCH(Display!B980,Calc!$K$99:$K$109,0),1),#N/A)</f>
        <v>#N/A</v>
      </c>
    </row>
    <row r="981" spans="2:6" x14ac:dyDescent="0.2">
      <c r="B981" s="6">
        <f t="shared" si="19"/>
        <v>978</v>
      </c>
      <c r="C981" s="81" t="e">
        <f ca="1">VLOOKUP(B981,Calc!$K$66:$L$76,2,FALSE)</f>
        <v>#N/A</v>
      </c>
      <c r="D981" s="81" t="e">
        <f ca="1">VLOOKUP(B981,Calc!$K$77:$L$87,2,FALSE)</f>
        <v>#N/A</v>
      </c>
      <c r="E981" s="523" t="e">
        <f ca="1">VLOOKUP(B981,Calc!$K$88:$L$98,2,FALSE)</f>
        <v>#N/A</v>
      </c>
      <c r="F981" s="523" t="e">
        <f ca="1">IF(Errorhandling!$C$42,INDEX(Calc!$J$99:$J$109,MATCH(Display!B981,Calc!$K$99:$K$109,0),1),#N/A)</f>
        <v>#N/A</v>
      </c>
    </row>
    <row r="982" spans="2:6" x14ac:dyDescent="0.2">
      <c r="B982" s="6">
        <f t="shared" si="19"/>
        <v>979</v>
      </c>
      <c r="C982" s="81" t="e">
        <f ca="1">VLOOKUP(B982,Calc!$K$66:$L$76,2,FALSE)</f>
        <v>#N/A</v>
      </c>
      <c r="D982" s="81" t="e">
        <f ca="1">VLOOKUP(B982,Calc!$K$77:$L$87,2,FALSE)</f>
        <v>#N/A</v>
      </c>
      <c r="E982" s="523" t="e">
        <f ca="1">VLOOKUP(B982,Calc!$K$88:$L$98,2,FALSE)</f>
        <v>#N/A</v>
      </c>
      <c r="F982" s="523" t="e">
        <f ca="1">IF(Errorhandling!$C$42,INDEX(Calc!$J$99:$J$109,MATCH(Display!B982,Calc!$K$99:$K$109,0),1),#N/A)</f>
        <v>#N/A</v>
      </c>
    </row>
    <row r="983" spans="2:6" x14ac:dyDescent="0.2">
      <c r="B983" s="6">
        <f t="shared" si="19"/>
        <v>980</v>
      </c>
      <c r="C983" s="81" t="e">
        <f ca="1">VLOOKUP(B983,Calc!$K$66:$L$76,2,FALSE)</f>
        <v>#N/A</v>
      </c>
      <c r="D983" s="81" t="e">
        <f ca="1">VLOOKUP(B983,Calc!$K$77:$L$87,2,FALSE)</f>
        <v>#N/A</v>
      </c>
      <c r="E983" s="523" t="e">
        <f ca="1">VLOOKUP(B983,Calc!$K$88:$L$98,2,FALSE)</f>
        <v>#N/A</v>
      </c>
      <c r="F983" s="523" t="e">
        <f ca="1">IF(Errorhandling!$C$42,INDEX(Calc!$J$99:$J$109,MATCH(Display!B983,Calc!$K$99:$K$109,0),1),#N/A)</f>
        <v>#N/A</v>
      </c>
    </row>
    <row r="984" spans="2:6" x14ac:dyDescent="0.2">
      <c r="B984" s="6">
        <f t="shared" si="19"/>
        <v>981</v>
      </c>
      <c r="C984" s="81" t="e">
        <f ca="1">VLOOKUP(B984,Calc!$K$66:$L$76,2,FALSE)</f>
        <v>#N/A</v>
      </c>
      <c r="D984" s="81" t="e">
        <f ca="1">VLOOKUP(B984,Calc!$K$77:$L$87,2,FALSE)</f>
        <v>#N/A</v>
      </c>
      <c r="E984" s="523" t="e">
        <f ca="1">VLOOKUP(B984,Calc!$K$88:$L$98,2,FALSE)</f>
        <v>#N/A</v>
      </c>
      <c r="F984" s="523" t="e">
        <f ca="1">IF(Errorhandling!$C$42,INDEX(Calc!$J$99:$J$109,MATCH(Display!B984,Calc!$K$99:$K$109,0),1),#N/A)</f>
        <v>#N/A</v>
      </c>
    </row>
    <row r="985" spans="2:6" x14ac:dyDescent="0.2">
      <c r="B985" s="6">
        <f t="shared" si="19"/>
        <v>982</v>
      </c>
      <c r="C985" s="81" t="e">
        <f ca="1">VLOOKUP(B985,Calc!$K$66:$L$76,2,FALSE)</f>
        <v>#N/A</v>
      </c>
      <c r="D985" s="81" t="e">
        <f ca="1">VLOOKUP(B985,Calc!$K$77:$L$87,2,FALSE)</f>
        <v>#N/A</v>
      </c>
      <c r="E985" s="523" t="e">
        <f ca="1">VLOOKUP(B985,Calc!$K$88:$L$98,2,FALSE)</f>
        <v>#N/A</v>
      </c>
      <c r="F985" s="523" t="e">
        <f ca="1">IF(Errorhandling!$C$42,INDEX(Calc!$J$99:$J$109,MATCH(Display!B985,Calc!$K$99:$K$109,0),1),#N/A)</f>
        <v>#N/A</v>
      </c>
    </row>
    <row r="986" spans="2:6" x14ac:dyDescent="0.2">
      <c r="B986" s="6">
        <f t="shared" si="19"/>
        <v>983</v>
      </c>
      <c r="C986" s="81" t="e">
        <f ca="1">VLOOKUP(B986,Calc!$K$66:$L$76,2,FALSE)</f>
        <v>#N/A</v>
      </c>
      <c r="D986" s="81" t="e">
        <f ca="1">VLOOKUP(B986,Calc!$K$77:$L$87,2,FALSE)</f>
        <v>#N/A</v>
      </c>
      <c r="E986" s="523" t="e">
        <f ca="1">VLOOKUP(B986,Calc!$K$88:$L$98,2,FALSE)</f>
        <v>#N/A</v>
      </c>
      <c r="F986" s="523" t="e">
        <f ca="1">IF(Errorhandling!$C$42,INDEX(Calc!$J$99:$J$109,MATCH(Display!B986,Calc!$K$99:$K$109,0),1),#N/A)</f>
        <v>#N/A</v>
      </c>
    </row>
    <row r="987" spans="2:6" x14ac:dyDescent="0.2">
      <c r="B987" s="6">
        <f t="shared" si="19"/>
        <v>984</v>
      </c>
      <c r="C987" s="81" t="e">
        <f ca="1">VLOOKUP(B987,Calc!$K$66:$L$76,2,FALSE)</f>
        <v>#N/A</v>
      </c>
      <c r="D987" s="81" t="e">
        <f ca="1">VLOOKUP(B987,Calc!$K$77:$L$87,2,FALSE)</f>
        <v>#N/A</v>
      </c>
      <c r="E987" s="523" t="e">
        <f ca="1">VLOOKUP(B987,Calc!$K$88:$L$98,2,FALSE)</f>
        <v>#N/A</v>
      </c>
      <c r="F987" s="523" t="e">
        <f ca="1">IF(Errorhandling!$C$42,INDEX(Calc!$J$99:$J$109,MATCH(Display!B987,Calc!$K$99:$K$109,0),1),#N/A)</f>
        <v>#N/A</v>
      </c>
    </row>
    <row r="988" spans="2:6" x14ac:dyDescent="0.2">
      <c r="B988" s="6">
        <f t="shared" si="19"/>
        <v>985</v>
      </c>
      <c r="C988" s="81" t="e">
        <f ca="1">VLOOKUP(B988,Calc!$K$66:$L$76,2,FALSE)</f>
        <v>#N/A</v>
      </c>
      <c r="D988" s="81" t="e">
        <f ca="1">VLOOKUP(B988,Calc!$K$77:$L$87,2,FALSE)</f>
        <v>#N/A</v>
      </c>
      <c r="E988" s="523" t="e">
        <f ca="1">VLOOKUP(B988,Calc!$K$88:$L$98,2,FALSE)</f>
        <v>#N/A</v>
      </c>
      <c r="F988" s="523" t="e">
        <f ca="1">IF(Errorhandling!$C$42,INDEX(Calc!$J$99:$J$109,MATCH(Display!B988,Calc!$K$99:$K$109,0),1),#N/A)</f>
        <v>#N/A</v>
      </c>
    </row>
    <row r="989" spans="2:6" x14ac:dyDescent="0.2">
      <c r="B989" s="6">
        <f t="shared" si="19"/>
        <v>986</v>
      </c>
      <c r="C989" s="81" t="e">
        <f ca="1">VLOOKUP(B989,Calc!$K$66:$L$76,2,FALSE)</f>
        <v>#N/A</v>
      </c>
      <c r="D989" s="81" t="e">
        <f ca="1">VLOOKUP(B989,Calc!$K$77:$L$87,2,FALSE)</f>
        <v>#N/A</v>
      </c>
      <c r="E989" s="523" t="e">
        <f ca="1">VLOOKUP(B989,Calc!$K$88:$L$98,2,FALSE)</f>
        <v>#N/A</v>
      </c>
      <c r="F989" s="523" t="e">
        <f ca="1">IF(Errorhandling!$C$42,INDEX(Calc!$J$99:$J$109,MATCH(Display!B989,Calc!$K$99:$K$109,0),1),#N/A)</f>
        <v>#N/A</v>
      </c>
    </row>
    <row r="990" spans="2:6" x14ac:dyDescent="0.2">
      <c r="B990" s="6">
        <f t="shared" si="19"/>
        <v>987</v>
      </c>
      <c r="C990" s="81" t="e">
        <f ca="1">VLOOKUP(B990,Calc!$K$66:$L$76,2,FALSE)</f>
        <v>#N/A</v>
      </c>
      <c r="D990" s="81" t="e">
        <f ca="1">VLOOKUP(B990,Calc!$K$77:$L$87,2,FALSE)</f>
        <v>#N/A</v>
      </c>
      <c r="E990" s="523" t="e">
        <f ca="1">VLOOKUP(B990,Calc!$K$88:$L$98,2,FALSE)</f>
        <v>#N/A</v>
      </c>
      <c r="F990" s="523" t="e">
        <f ca="1">IF(Errorhandling!$C$42,INDEX(Calc!$J$99:$J$109,MATCH(Display!B990,Calc!$K$99:$K$109,0),1),#N/A)</f>
        <v>#N/A</v>
      </c>
    </row>
    <row r="991" spans="2:6" x14ac:dyDescent="0.2">
      <c r="B991" s="6">
        <f t="shared" si="19"/>
        <v>988</v>
      </c>
      <c r="C991" s="81" t="e">
        <f ca="1">VLOOKUP(B991,Calc!$K$66:$L$76,2,FALSE)</f>
        <v>#N/A</v>
      </c>
      <c r="D991" s="81" t="e">
        <f ca="1">VLOOKUP(B991,Calc!$K$77:$L$87,2,FALSE)</f>
        <v>#N/A</v>
      </c>
      <c r="E991" s="523" t="e">
        <f ca="1">VLOOKUP(B991,Calc!$K$88:$L$98,2,FALSE)</f>
        <v>#N/A</v>
      </c>
      <c r="F991" s="523" t="e">
        <f ca="1">IF(Errorhandling!$C$42,INDEX(Calc!$J$99:$J$109,MATCH(Display!B991,Calc!$K$99:$K$109,0),1),#N/A)</f>
        <v>#N/A</v>
      </c>
    </row>
    <row r="992" spans="2:6" x14ac:dyDescent="0.2">
      <c r="B992" s="6">
        <f t="shared" si="19"/>
        <v>989</v>
      </c>
      <c r="C992" s="81" t="e">
        <f ca="1">VLOOKUP(B992,Calc!$K$66:$L$76,2,FALSE)</f>
        <v>#N/A</v>
      </c>
      <c r="D992" s="81" t="e">
        <f ca="1">VLOOKUP(B992,Calc!$K$77:$L$87,2,FALSE)</f>
        <v>#N/A</v>
      </c>
      <c r="E992" s="523" t="e">
        <f ca="1">VLOOKUP(B992,Calc!$K$88:$L$98,2,FALSE)</f>
        <v>#N/A</v>
      </c>
      <c r="F992" s="523" t="e">
        <f ca="1">IF(Errorhandling!$C$42,INDEX(Calc!$J$99:$J$109,MATCH(Display!B992,Calc!$K$99:$K$109,0),1),#N/A)</f>
        <v>#N/A</v>
      </c>
    </row>
    <row r="993" spans="2:6" x14ac:dyDescent="0.2">
      <c r="B993" s="6">
        <f t="shared" si="19"/>
        <v>990</v>
      </c>
      <c r="C993" s="81" t="e">
        <f ca="1">VLOOKUP(B993,Calc!$K$66:$L$76,2,FALSE)</f>
        <v>#N/A</v>
      </c>
      <c r="D993" s="81" t="e">
        <f ca="1">VLOOKUP(B993,Calc!$K$77:$L$87,2,FALSE)</f>
        <v>#N/A</v>
      </c>
      <c r="E993" s="523" t="e">
        <f ca="1">VLOOKUP(B993,Calc!$K$88:$L$98,2,FALSE)</f>
        <v>#N/A</v>
      </c>
      <c r="F993" s="523" t="e">
        <f ca="1">IF(Errorhandling!$C$42,INDEX(Calc!$J$99:$J$109,MATCH(Display!B993,Calc!$K$99:$K$109,0),1),#N/A)</f>
        <v>#N/A</v>
      </c>
    </row>
    <row r="994" spans="2:6" x14ac:dyDescent="0.2">
      <c r="B994" s="6">
        <f t="shared" si="19"/>
        <v>991</v>
      </c>
      <c r="C994" s="81" t="e">
        <f ca="1">VLOOKUP(B994,Calc!$K$66:$L$76,2,FALSE)</f>
        <v>#N/A</v>
      </c>
      <c r="D994" s="81" t="e">
        <f ca="1">VLOOKUP(B994,Calc!$K$77:$L$87,2,FALSE)</f>
        <v>#N/A</v>
      </c>
      <c r="E994" s="523" t="e">
        <f ca="1">VLOOKUP(B994,Calc!$K$88:$L$98,2,FALSE)</f>
        <v>#N/A</v>
      </c>
      <c r="F994" s="523" t="e">
        <f ca="1">IF(Errorhandling!$C$42,INDEX(Calc!$J$99:$J$109,MATCH(Display!B994,Calc!$K$99:$K$109,0),1),#N/A)</f>
        <v>#N/A</v>
      </c>
    </row>
    <row r="995" spans="2:6" x14ac:dyDescent="0.2">
      <c r="B995" s="6">
        <f t="shared" si="19"/>
        <v>992</v>
      </c>
      <c r="C995" s="81" t="e">
        <f ca="1">VLOOKUP(B995,Calc!$K$66:$L$76,2,FALSE)</f>
        <v>#N/A</v>
      </c>
      <c r="D995" s="81" t="e">
        <f ca="1">VLOOKUP(B995,Calc!$K$77:$L$87,2,FALSE)</f>
        <v>#N/A</v>
      </c>
      <c r="E995" s="523" t="e">
        <f ca="1">VLOOKUP(B995,Calc!$K$88:$L$98,2,FALSE)</f>
        <v>#N/A</v>
      </c>
      <c r="F995" s="523" t="e">
        <f ca="1">IF(Errorhandling!$C$42,INDEX(Calc!$J$99:$J$109,MATCH(Display!B995,Calc!$K$99:$K$109,0),1),#N/A)</f>
        <v>#N/A</v>
      </c>
    </row>
    <row r="996" spans="2:6" x14ac:dyDescent="0.2">
      <c r="B996" s="6">
        <f t="shared" si="19"/>
        <v>993</v>
      </c>
      <c r="C996" s="81" t="e">
        <f ca="1">VLOOKUP(B996,Calc!$K$66:$L$76,2,FALSE)</f>
        <v>#N/A</v>
      </c>
      <c r="D996" s="81" t="e">
        <f ca="1">VLOOKUP(B996,Calc!$K$77:$L$87,2,FALSE)</f>
        <v>#N/A</v>
      </c>
      <c r="E996" s="523" t="e">
        <f ca="1">VLOOKUP(B996,Calc!$K$88:$L$98,2,FALSE)</f>
        <v>#N/A</v>
      </c>
      <c r="F996" s="523" t="e">
        <f ca="1">IF(Errorhandling!$C$42,INDEX(Calc!$J$99:$J$109,MATCH(Display!B996,Calc!$K$99:$K$109,0),1),#N/A)</f>
        <v>#N/A</v>
      </c>
    </row>
    <row r="997" spans="2:6" x14ac:dyDescent="0.2">
      <c r="B997" s="6">
        <f t="shared" si="19"/>
        <v>994</v>
      </c>
      <c r="C997" s="81" t="e">
        <f ca="1">VLOOKUP(B997,Calc!$K$66:$L$76,2,FALSE)</f>
        <v>#N/A</v>
      </c>
      <c r="D997" s="81" t="e">
        <f ca="1">VLOOKUP(B997,Calc!$K$77:$L$87,2,FALSE)</f>
        <v>#N/A</v>
      </c>
      <c r="E997" s="523" t="e">
        <f ca="1">VLOOKUP(B997,Calc!$K$88:$L$98,2,FALSE)</f>
        <v>#N/A</v>
      </c>
      <c r="F997" s="523" t="e">
        <f ca="1">IF(Errorhandling!$C$42,INDEX(Calc!$J$99:$J$109,MATCH(Display!B997,Calc!$K$99:$K$109,0),1),#N/A)</f>
        <v>#N/A</v>
      </c>
    </row>
    <row r="998" spans="2:6" x14ac:dyDescent="0.2">
      <c r="B998" s="6">
        <f t="shared" si="19"/>
        <v>995</v>
      </c>
      <c r="C998" s="81" t="e">
        <f ca="1">VLOOKUP(B998,Calc!$K$66:$L$76,2,FALSE)</f>
        <v>#N/A</v>
      </c>
      <c r="D998" s="81" t="e">
        <f ca="1">VLOOKUP(B998,Calc!$K$77:$L$87,2,FALSE)</f>
        <v>#N/A</v>
      </c>
      <c r="E998" s="523" t="e">
        <f ca="1">VLOOKUP(B998,Calc!$K$88:$L$98,2,FALSE)</f>
        <v>#N/A</v>
      </c>
      <c r="F998" s="523" t="e">
        <f ca="1">IF(Errorhandling!$C$42,INDEX(Calc!$J$99:$J$109,MATCH(Display!B998,Calc!$K$99:$K$109,0),1),#N/A)</f>
        <v>#N/A</v>
      </c>
    </row>
    <row r="999" spans="2:6" x14ac:dyDescent="0.2">
      <c r="B999" s="6">
        <f t="shared" si="19"/>
        <v>996</v>
      </c>
      <c r="C999" s="81" t="e">
        <f ca="1">VLOOKUP(B999,Calc!$K$66:$L$76,2,FALSE)</f>
        <v>#N/A</v>
      </c>
      <c r="D999" s="81" t="e">
        <f ca="1">VLOOKUP(B999,Calc!$K$77:$L$87,2,FALSE)</f>
        <v>#N/A</v>
      </c>
      <c r="E999" s="523" t="e">
        <f ca="1">VLOOKUP(B999,Calc!$K$88:$L$98,2,FALSE)</f>
        <v>#N/A</v>
      </c>
      <c r="F999" s="523" t="e">
        <f ca="1">IF(Errorhandling!$C$42,INDEX(Calc!$J$99:$J$109,MATCH(Display!B999,Calc!$K$99:$K$109,0),1),#N/A)</f>
        <v>#N/A</v>
      </c>
    </row>
    <row r="1000" spans="2:6" x14ac:dyDescent="0.2">
      <c r="B1000" s="6">
        <f t="shared" si="19"/>
        <v>997</v>
      </c>
      <c r="C1000" s="81" t="e">
        <f ca="1">VLOOKUP(B1000,Calc!$K$66:$L$76,2,FALSE)</f>
        <v>#N/A</v>
      </c>
      <c r="D1000" s="81" t="e">
        <f ca="1">VLOOKUP(B1000,Calc!$K$77:$L$87,2,FALSE)</f>
        <v>#N/A</v>
      </c>
      <c r="E1000" s="523" t="e">
        <f ca="1">VLOOKUP(B1000,Calc!$K$88:$L$98,2,FALSE)</f>
        <v>#N/A</v>
      </c>
      <c r="F1000" s="523" t="e">
        <f ca="1">IF(Errorhandling!$C$42,INDEX(Calc!$J$99:$J$109,MATCH(Display!B1000,Calc!$K$99:$K$109,0),1),#N/A)</f>
        <v>#N/A</v>
      </c>
    </row>
    <row r="1001" spans="2:6" x14ac:dyDescent="0.2">
      <c r="B1001" s="6">
        <f t="shared" si="19"/>
        <v>998</v>
      </c>
      <c r="C1001" s="81" t="e">
        <f ca="1">VLOOKUP(B1001,Calc!$K$66:$L$76,2,FALSE)</f>
        <v>#N/A</v>
      </c>
      <c r="D1001" s="81" t="e">
        <f ca="1">VLOOKUP(B1001,Calc!$K$77:$L$87,2,FALSE)</f>
        <v>#N/A</v>
      </c>
      <c r="E1001" s="523" t="e">
        <f ca="1">VLOOKUP(B1001,Calc!$K$88:$L$98,2,FALSE)</f>
        <v>#N/A</v>
      </c>
      <c r="F1001" s="523" t="e">
        <f ca="1">IF(Errorhandling!$C$42,INDEX(Calc!$J$99:$J$109,MATCH(Display!B1001,Calc!$K$99:$K$109,0),1),#N/A)</f>
        <v>#N/A</v>
      </c>
    </row>
    <row r="1002" spans="2:6" x14ac:dyDescent="0.2">
      <c r="B1002" s="6">
        <f t="shared" si="19"/>
        <v>999</v>
      </c>
      <c r="C1002" s="81" t="e">
        <f ca="1">VLOOKUP(B1002,Calc!$K$66:$L$76,2,FALSE)</f>
        <v>#N/A</v>
      </c>
      <c r="D1002" s="81" t="e">
        <f ca="1">VLOOKUP(B1002,Calc!$K$77:$L$87,2,FALSE)</f>
        <v>#N/A</v>
      </c>
      <c r="E1002" s="523" t="e">
        <f ca="1">VLOOKUP(B1002,Calc!$K$88:$L$98,2,FALSE)</f>
        <v>#N/A</v>
      </c>
      <c r="F1002" s="523" t="e">
        <f ca="1">IF(Errorhandling!$C$42,INDEX(Calc!$J$99:$J$109,MATCH(Display!B1002,Calc!$K$99:$K$109,0),1),#N/A)</f>
        <v>#N/A</v>
      </c>
    </row>
    <row r="1003" spans="2:6" x14ac:dyDescent="0.2">
      <c r="B1003" s="6">
        <f t="shared" si="19"/>
        <v>1000</v>
      </c>
      <c r="C1003" s="81" t="e">
        <f ca="1">VLOOKUP(B1003,Calc!$K$66:$L$76,2,FALSE)</f>
        <v>#N/A</v>
      </c>
      <c r="D1003" s="81" t="e">
        <f ca="1">VLOOKUP(B1003,Calc!$K$77:$L$87,2,FALSE)</f>
        <v>#N/A</v>
      </c>
      <c r="E1003" s="523" t="e">
        <f ca="1">VLOOKUP(B1003,Calc!$K$88:$L$98,2,FALSE)</f>
        <v>#N/A</v>
      </c>
      <c r="F1003" s="523" t="e">
        <f ca="1">IF(Errorhandling!$C$42,INDEX(Calc!$J$99:$J$109,MATCH(Display!B1003,Calc!$K$99:$K$109,0),1),#N/A)</f>
        <v>#N/A</v>
      </c>
    </row>
    <row r="1004" spans="2:6" x14ac:dyDescent="0.2">
      <c r="B1004" s="6">
        <f t="shared" si="19"/>
        <v>1001</v>
      </c>
      <c r="C1004" s="81" t="e">
        <f ca="1">VLOOKUP(B1004,Calc!$K$66:$L$76,2,FALSE)</f>
        <v>#N/A</v>
      </c>
      <c r="D1004" s="81" t="e">
        <f ca="1">VLOOKUP(B1004,Calc!$K$77:$L$87,2,FALSE)</f>
        <v>#N/A</v>
      </c>
      <c r="E1004" s="523" t="e">
        <f ca="1">VLOOKUP(B1004,Calc!$K$88:$L$98,2,FALSE)</f>
        <v>#N/A</v>
      </c>
      <c r="F1004" s="523" t="e">
        <f ca="1">IF(Errorhandling!$C$42,INDEX(Calc!$J$99:$J$109,MATCH(Display!B1004,Calc!$K$99:$K$109,0),1),#N/A)</f>
        <v>#N/A</v>
      </c>
    </row>
    <row r="1005" spans="2:6" x14ac:dyDescent="0.2">
      <c r="B1005" s="6">
        <f t="shared" si="19"/>
        <v>1002</v>
      </c>
      <c r="C1005" s="81" t="e">
        <f ca="1">VLOOKUP(B1005,Calc!$K$66:$L$76,2,FALSE)</f>
        <v>#N/A</v>
      </c>
      <c r="D1005" s="81" t="e">
        <f ca="1">VLOOKUP(B1005,Calc!$K$77:$L$87,2,FALSE)</f>
        <v>#N/A</v>
      </c>
      <c r="E1005" s="523" t="e">
        <f ca="1">VLOOKUP(B1005,Calc!$K$88:$L$98,2,FALSE)</f>
        <v>#N/A</v>
      </c>
      <c r="F1005" s="523" t="e">
        <f ca="1">IF(Errorhandling!$C$42,INDEX(Calc!$J$99:$J$109,MATCH(Display!B1005,Calc!$K$99:$K$109,0),1),#N/A)</f>
        <v>#N/A</v>
      </c>
    </row>
    <row r="1006" spans="2:6" x14ac:dyDescent="0.2">
      <c r="B1006" s="6">
        <f t="shared" si="19"/>
        <v>1003</v>
      </c>
      <c r="C1006" s="81" t="e">
        <f ca="1">VLOOKUP(B1006,Calc!$K$66:$L$76,2,FALSE)</f>
        <v>#N/A</v>
      </c>
      <c r="D1006" s="81" t="e">
        <f ca="1">VLOOKUP(B1006,Calc!$K$77:$L$87,2,FALSE)</f>
        <v>#N/A</v>
      </c>
      <c r="E1006" s="523" t="e">
        <f ca="1">VLOOKUP(B1006,Calc!$K$88:$L$98,2,FALSE)</f>
        <v>#N/A</v>
      </c>
      <c r="F1006" s="523" t="e">
        <f ca="1">IF(Errorhandling!$C$42,INDEX(Calc!$J$99:$J$109,MATCH(Display!B1006,Calc!$K$99:$K$109,0),1),#N/A)</f>
        <v>#N/A</v>
      </c>
    </row>
    <row r="1007" spans="2:6" x14ac:dyDescent="0.2">
      <c r="B1007" s="6">
        <f t="shared" si="19"/>
        <v>1004</v>
      </c>
      <c r="C1007" s="81" t="e">
        <f ca="1">VLOOKUP(B1007,Calc!$K$66:$L$76,2,FALSE)</f>
        <v>#N/A</v>
      </c>
      <c r="D1007" s="81" t="e">
        <f ca="1">VLOOKUP(B1007,Calc!$K$77:$L$87,2,FALSE)</f>
        <v>#N/A</v>
      </c>
      <c r="E1007" s="523" t="e">
        <f ca="1">VLOOKUP(B1007,Calc!$K$88:$L$98,2,FALSE)</f>
        <v>#N/A</v>
      </c>
      <c r="F1007" s="523" t="e">
        <f ca="1">IF(Errorhandling!$C$42,INDEX(Calc!$J$99:$J$109,MATCH(Display!B1007,Calc!$K$99:$K$109,0),1),#N/A)</f>
        <v>#N/A</v>
      </c>
    </row>
    <row r="1008" spans="2:6" x14ac:dyDescent="0.2">
      <c r="B1008" s="6">
        <f t="shared" si="19"/>
        <v>1005</v>
      </c>
      <c r="C1008" s="81" t="e">
        <f ca="1">VLOOKUP(B1008,Calc!$K$66:$L$76,2,FALSE)</f>
        <v>#N/A</v>
      </c>
      <c r="D1008" s="81" t="e">
        <f ca="1">VLOOKUP(B1008,Calc!$K$77:$L$87,2,FALSE)</f>
        <v>#N/A</v>
      </c>
      <c r="E1008" s="523" t="e">
        <f ca="1">VLOOKUP(B1008,Calc!$K$88:$L$98,2,FALSE)</f>
        <v>#N/A</v>
      </c>
      <c r="F1008" s="523" t="e">
        <f ca="1">IF(Errorhandling!$C$42,INDEX(Calc!$J$99:$J$109,MATCH(Display!B1008,Calc!$K$99:$K$109,0),1),#N/A)</f>
        <v>#N/A</v>
      </c>
    </row>
    <row r="1009" spans="2:6" x14ac:dyDescent="0.2">
      <c r="B1009" s="6">
        <f t="shared" si="19"/>
        <v>1006</v>
      </c>
      <c r="C1009" s="81" t="e">
        <f ca="1">VLOOKUP(B1009,Calc!$K$66:$L$76,2,FALSE)</f>
        <v>#N/A</v>
      </c>
      <c r="D1009" s="81" t="e">
        <f ca="1">VLOOKUP(B1009,Calc!$K$77:$L$87,2,FALSE)</f>
        <v>#N/A</v>
      </c>
      <c r="E1009" s="523" t="e">
        <f ca="1">VLOOKUP(B1009,Calc!$K$88:$L$98,2,FALSE)</f>
        <v>#N/A</v>
      </c>
      <c r="F1009" s="523" t="e">
        <f ca="1">IF(Errorhandling!$C$42,INDEX(Calc!$J$99:$J$109,MATCH(Display!B1009,Calc!$K$99:$K$109,0),1),#N/A)</f>
        <v>#N/A</v>
      </c>
    </row>
    <row r="1010" spans="2:6" x14ac:dyDescent="0.2">
      <c r="B1010" s="6">
        <f t="shared" si="19"/>
        <v>1007</v>
      </c>
      <c r="C1010" s="81" t="e">
        <f ca="1">VLOOKUP(B1010,Calc!$K$66:$L$76,2,FALSE)</f>
        <v>#N/A</v>
      </c>
      <c r="D1010" s="81" t="e">
        <f ca="1">VLOOKUP(B1010,Calc!$K$77:$L$87,2,FALSE)</f>
        <v>#N/A</v>
      </c>
      <c r="E1010" s="523" t="e">
        <f ca="1">VLOOKUP(B1010,Calc!$K$88:$L$98,2,FALSE)</f>
        <v>#N/A</v>
      </c>
      <c r="F1010" s="523" t="e">
        <f ca="1">IF(Errorhandling!$C$42,INDEX(Calc!$J$99:$J$109,MATCH(Display!B1010,Calc!$K$99:$K$109,0),1),#N/A)</f>
        <v>#N/A</v>
      </c>
    </row>
    <row r="1011" spans="2:6" x14ac:dyDescent="0.2">
      <c r="B1011" s="6">
        <f t="shared" si="19"/>
        <v>1008</v>
      </c>
      <c r="C1011" s="81" t="e">
        <f ca="1">VLOOKUP(B1011,Calc!$K$66:$L$76,2,FALSE)</f>
        <v>#N/A</v>
      </c>
      <c r="D1011" s="81" t="e">
        <f ca="1">VLOOKUP(B1011,Calc!$K$77:$L$87,2,FALSE)</f>
        <v>#N/A</v>
      </c>
      <c r="E1011" s="523" t="e">
        <f ca="1">VLOOKUP(B1011,Calc!$K$88:$L$98,2,FALSE)</f>
        <v>#N/A</v>
      </c>
      <c r="F1011" s="523" t="e">
        <f ca="1">IF(Errorhandling!$C$42,INDEX(Calc!$J$99:$J$109,MATCH(Display!B1011,Calc!$K$99:$K$109,0),1),#N/A)</f>
        <v>#N/A</v>
      </c>
    </row>
    <row r="1012" spans="2:6" x14ac:dyDescent="0.2">
      <c r="B1012" s="6">
        <f t="shared" si="19"/>
        <v>1009</v>
      </c>
      <c r="C1012" s="81" t="e">
        <f ca="1">VLOOKUP(B1012,Calc!$K$66:$L$76,2,FALSE)</f>
        <v>#N/A</v>
      </c>
      <c r="D1012" s="81" t="e">
        <f ca="1">VLOOKUP(B1012,Calc!$K$77:$L$87,2,FALSE)</f>
        <v>#N/A</v>
      </c>
      <c r="E1012" s="523" t="e">
        <f ca="1">VLOOKUP(B1012,Calc!$K$88:$L$98,2,FALSE)</f>
        <v>#N/A</v>
      </c>
      <c r="F1012" s="523" t="e">
        <f ca="1">IF(Errorhandling!$C$42,INDEX(Calc!$J$99:$J$109,MATCH(Display!B1012,Calc!$K$99:$K$109,0),1),#N/A)</f>
        <v>#N/A</v>
      </c>
    </row>
    <row r="1013" spans="2:6" x14ac:dyDescent="0.2">
      <c r="B1013" s="6">
        <f t="shared" si="19"/>
        <v>1010</v>
      </c>
      <c r="C1013" s="81" t="e">
        <f ca="1">VLOOKUP(B1013,Calc!$K$66:$L$76,2,FALSE)</f>
        <v>#N/A</v>
      </c>
      <c r="D1013" s="81" t="e">
        <f ca="1">VLOOKUP(B1013,Calc!$K$77:$L$87,2,FALSE)</f>
        <v>#N/A</v>
      </c>
      <c r="E1013" s="523" t="e">
        <f ca="1">VLOOKUP(B1013,Calc!$K$88:$L$98,2,FALSE)</f>
        <v>#N/A</v>
      </c>
      <c r="F1013" s="523" t="e">
        <f ca="1">IF(Errorhandling!$C$42,INDEX(Calc!$J$99:$J$109,MATCH(Display!B1013,Calc!$K$99:$K$109,0),1),#N/A)</f>
        <v>#N/A</v>
      </c>
    </row>
    <row r="1014" spans="2:6" x14ac:dyDescent="0.2">
      <c r="B1014" s="6">
        <f t="shared" si="19"/>
        <v>1011</v>
      </c>
      <c r="C1014" s="81" t="e">
        <f ca="1">VLOOKUP(B1014,Calc!$K$66:$L$76,2,FALSE)</f>
        <v>#N/A</v>
      </c>
      <c r="D1014" s="81" t="e">
        <f ca="1">VLOOKUP(B1014,Calc!$K$77:$L$87,2,FALSE)</f>
        <v>#N/A</v>
      </c>
      <c r="E1014" s="523" t="e">
        <f ca="1">VLOOKUP(B1014,Calc!$K$88:$L$98,2,FALSE)</f>
        <v>#N/A</v>
      </c>
      <c r="F1014" s="523" t="e">
        <f ca="1">IF(Errorhandling!$C$42,INDEX(Calc!$J$99:$J$109,MATCH(Display!B1014,Calc!$K$99:$K$109,0),1),#N/A)</f>
        <v>#N/A</v>
      </c>
    </row>
    <row r="1015" spans="2:6" x14ac:dyDescent="0.2">
      <c r="B1015" s="6">
        <f t="shared" si="19"/>
        <v>1012</v>
      </c>
      <c r="C1015" s="81" t="e">
        <f ca="1">VLOOKUP(B1015,Calc!$K$66:$L$76,2,FALSE)</f>
        <v>#N/A</v>
      </c>
      <c r="D1015" s="81" t="e">
        <f ca="1">VLOOKUP(B1015,Calc!$K$77:$L$87,2,FALSE)</f>
        <v>#N/A</v>
      </c>
      <c r="E1015" s="523" t="e">
        <f ca="1">VLOOKUP(B1015,Calc!$K$88:$L$98,2,FALSE)</f>
        <v>#N/A</v>
      </c>
      <c r="F1015" s="523" t="e">
        <f ca="1">IF(Errorhandling!$C$42,INDEX(Calc!$J$99:$J$109,MATCH(Display!B1015,Calc!$K$99:$K$109,0),1),#N/A)</f>
        <v>#N/A</v>
      </c>
    </row>
    <row r="1016" spans="2:6" x14ac:dyDescent="0.2">
      <c r="B1016" s="6">
        <f t="shared" si="19"/>
        <v>1013</v>
      </c>
      <c r="C1016" s="81" t="e">
        <f ca="1">VLOOKUP(B1016,Calc!$K$66:$L$76,2,FALSE)</f>
        <v>#N/A</v>
      </c>
      <c r="D1016" s="81" t="e">
        <f ca="1">VLOOKUP(B1016,Calc!$K$77:$L$87,2,FALSE)</f>
        <v>#N/A</v>
      </c>
      <c r="E1016" s="523" t="e">
        <f ca="1">VLOOKUP(B1016,Calc!$K$88:$L$98,2,FALSE)</f>
        <v>#N/A</v>
      </c>
      <c r="F1016" s="523" t="e">
        <f ca="1">IF(Errorhandling!$C$42,INDEX(Calc!$J$99:$J$109,MATCH(Display!B1016,Calc!$K$99:$K$109,0),1),#N/A)</f>
        <v>#N/A</v>
      </c>
    </row>
    <row r="1017" spans="2:6" x14ac:dyDescent="0.2">
      <c r="B1017" s="6">
        <f t="shared" si="19"/>
        <v>1014</v>
      </c>
      <c r="C1017" s="81" t="e">
        <f ca="1">VLOOKUP(B1017,Calc!$K$66:$L$76,2,FALSE)</f>
        <v>#N/A</v>
      </c>
      <c r="D1017" s="81" t="e">
        <f ca="1">VLOOKUP(B1017,Calc!$K$77:$L$87,2,FALSE)</f>
        <v>#N/A</v>
      </c>
      <c r="E1017" s="523" t="e">
        <f ca="1">VLOOKUP(B1017,Calc!$K$88:$L$98,2,FALSE)</f>
        <v>#N/A</v>
      </c>
      <c r="F1017" s="523" t="e">
        <f ca="1">IF(Errorhandling!$C$42,INDEX(Calc!$J$99:$J$109,MATCH(Display!B1017,Calc!$K$99:$K$109,0),1),#N/A)</f>
        <v>#N/A</v>
      </c>
    </row>
    <row r="1018" spans="2:6" x14ac:dyDescent="0.2">
      <c r="B1018" s="6">
        <f t="shared" si="19"/>
        <v>1015</v>
      </c>
      <c r="C1018" s="81" t="e">
        <f ca="1">VLOOKUP(B1018,Calc!$K$66:$L$76,2,FALSE)</f>
        <v>#N/A</v>
      </c>
      <c r="D1018" s="81" t="e">
        <f ca="1">VLOOKUP(B1018,Calc!$K$77:$L$87,2,FALSE)</f>
        <v>#N/A</v>
      </c>
      <c r="E1018" s="523" t="e">
        <f ca="1">VLOOKUP(B1018,Calc!$K$88:$L$98,2,FALSE)</f>
        <v>#N/A</v>
      </c>
      <c r="F1018" s="523" t="e">
        <f ca="1">IF(Errorhandling!$C$42,INDEX(Calc!$J$99:$J$109,MATCH(Display!B1018,Calc!$K$99:$K$109,0),1),#N/A)</f>
        <v>#N/A</v>
      </c>
    </row>
    <row r="1019" spans="2:6" x14ac:dyDescent="0.2">
      <c r="B1019" s="6">
        <f t="shared" si="19"/>
        <v>1016</v>
      </c>
      <c r="C1019" s="81" t="e">
        <f ca="1">VLOOKUP(B1019,Calc!$K$66:$L$76,2,FALSE)</f>
        <v>#N/A</v>
      </c>
      <c r="D1019" s="81" t="e">
        <f ca="1">VLOOKUP(B1019,Calc!$K$77:$L$87,2,FALSE)</f>
        <v>#N/A</v>
      </c>
      <c r="E1019" s="523" t="e">
        <f ca="1">VLOOKUP(B1019,Calc!$K$88:$L$98,2,FALSE)</f>
        <v>#N/A</v>
      </c>
      <c r="F1019" s="523" t="e">
        <f ca="1">IF(Errorhandling!$C$42,INDEX(Calc!$J$99:$J$109,MATCH(Display!B1019,Calc!$K$99:$K$109,0),1),#N/A)</f>
        <v>#N/A</v>
      </c>
    </row>
    <row r="1020" spans="2:6" x14ac:dyDescent="0.2">
      <c r="B1020" s="6">
        <f t="shared" si="19"/>
        <v>1017</v>
      </c>
      <c r="C1020" s="81" t="e">
        <f ca="1">VLOOKUP(B1020,Calc!$K$66:$L$76,2,FALSE)</f>
        <v>#N/A</v>
      </c>
      <c r="D1020" s="81" t="e">
        <f ca="1">VLOOKUP(B1020,Calc!$K$77:$L$87,2,FALSE)</f>
        <v>#N/A</v>
      </c>
      <c r="E1020" s="523" t="e">
        <f ca="1">VLOOKUP(B1020,Calc!$K$88:$L$98,2,FALSE)</f>
        <v>#N/A</v>
      </c>
      <c r="F1020" s="523" t="e">
        <f ca="1">IF(Errorhandling!$C$42,INDEX(Calc!$J$99:$J$109,MATCH(Display!B1020,Calc!$K$99:$K$109,0),1),#N/A)</f>
        <v>#N/A</v>
      </c>
    </row>
    <row r="1021" spans="2:6" x14ac:dyDescent="0.2">
      <c r="B1021" s="6">
        <f t="shared" si="19"/>
        <v>1018</v>
      </c>
      <c r="C1021" s="81" t="e">
        <f ca="1">VLOOKUP(B1021,Calc!$K$66:$L$76,2,FALSE)</f>
        <v>#N/A</v>
      </c>
      <c r="D1021" s="81" t="e">
        <f ca="1">VLOOKUP(B1021,Calc!$K$77:$L$87,2,FALSE)</f>
        <v>#N/A</v>
      </c>
      <c r="E1021" s="523" t="e">
        <f ca="1">VLOOKUP(B1021,Calc!$K$88:$L$98,2,FALSE)</f>
        <v>#N/A</v>
      </c>
      <c r="F1021" s="523" t="e">
        <f ca="1">IF(Errorhandling!$C$42,INDEX(Calc!$J$99:$J$109,MATCH(Display!B1021,Calc!$K$99:$K$109,0),1),#N/A)</f>
        <v>#N/A</v>
      </c>
    </row>
    <row r="1022" spans="2:6" x14ac:dyDescent="0.2">
      <c r="B1022" s="6">
        <f t="shared" si="19"/>
        <v>1019</v>
      </c>
      <c r="C1022" s="81" t="e">
        <f ca="1">VLOOKUP(B1022,Calc!$K$66:$L$76,2,FALSE)</f>
        <v>#N/A</v>
      </c>
      <c r="D1022" s="81" t="e">
        <f ca="1">VLOOKUP(B1022,Calc!$K$77:$L$87,2,FALSE)</f>
        <v>#N/A</v>
      </c>
      <c r="E1022" s="523" t="e">
        <f ca="1">VLOOKUP(B1022,Calc!$K$88:$L$98,2,FALSE)</f>
        <v>#N/A</v>
      </c>
      <c r="F1022" s="523" t="e">
        <f ca="1">IF(Errorhandling!$C$42,INDEX(Calc!$J$99:$J$109,MATCH(Display!B1022,Calc!$K$99:$K$109,0),1),#N/A)</f>
        <v>#N/A</v>
      </c>
    </row>
    <row r="1023" spans="2:6" x14ac:dyDescent="0.2">
      <c r="B1023" s="6">
        <f t="shared" si="19"/>
        <v>1020</v>
      </c>
      <c r="C1023" s="81" t="e">
        <f ca="1">VLOOKUP(B1023,Calc!$K$66:$L$76,2,FALSE)</f>
        <v>#N/A</v>
      </c>
      <c r="D1023" s="81" t="e">
        <f ca="1">VLOOKUP(B1023,Calc!$K$77:$L$87,2,FALSE)</f>
        <v>#N/A</v>
      </c>
      <c r="E1023" s="523" t="e">
        <f ca="1">VLOOKUP(B1023,Calc!$K$88:$L$98,2,FALSE)</f>
        <v>#N/A</v>
      </c>
      <c r="F1023" s="523" t="e">
        <f ca="1">IF(Errorhandling!$C$42,INDEX(Calc!$J$99:$J$109,MATCH(Display!B1023,Calc!$K$99:$K$109,0),1),#N/A)</f>
        <v>#N/A</v>
      </c>
    </row>
    <row r="1024" spans="2:6" x14ac:dyDescent="0.2">
      <c r="B1024" s="6">
        <f t="shared" si="19"/>
        <v>1021</v>
      </c>
      <c r="C1024" s="81" t="e">
        <f ca="1">VLOOKUP(B1024,Calc!$K$66:$L$76,2,FALSE)</f>
        <v>#N/A</v>
      </c>
      <c r="D1024" s="81" t="e">
        <f ca="1">VLOOKUP(B1024,Calc!$K$77:$L$87,2,FALSE)</f>
        <v>#N/A</v>
      </c>
      <c r="E1024" s="523" t="e">
        <f ca="1">VLOOKUP(B1024,Calc!$K$88:$L$98,2,FALSE)</f>
        <v>#N/A</v>
      </c>
      <c r="F1024" s="523" t="e">
        <f ca="1">IF(Errorhandling!$C$42,INDEX(Calc!$J$99:$J$109,MATCH(Display!B1024,Calc!$K$99:$K$109,0),1),#N/A)</f>
        <v>#N/A</v>
      </c>
    </row>
    <row r="1025" spans="2:6" x14ac:dyDescent="0.2">
      <c r="B1025" s="6">
        <f t="shared" si="19"/>
        <v>1022</v>
      </c>
      <c r="C1025" s="81" t="e">
        <f ca="1">VLOOKUP(B1025,Calc!$K$66:$L$76,2,FALSE)</f>
        <v>#N/A</v>
      </c>
      <c r="D1025" s="81" t="e">
        <f ca="1">VLOOKUP(B1025,Calc!$K$77:$L$87,2,FALSE)</f>
        <v>#N/A</v>
      </c>
      <c r="E1025" s="523" t="e">
        <f ca="1">VLOOKUP(B1025,Calc!$K$88:$L$98,2,FALSE)</f>
        <v>#N/A</v>
      </c>
      <c r="F1025" s="523" t="e">
        <f ca="1">IF(Errorhandling!$C$42,INDEX(Calc!$J$99:$J$109,MATCH(Display!B1025,Calc!$K$99:$K$109,0),1),#N/A)</f>
        <v>#N/A</v>
      </c>
    </row>
    <row r="1026" spans="2:6" x14ac:dyDescent="0.2">
      <c r="B1026" s="6">
        <f t="shared" si="19"/>
        <v>1023</v>
      </c>
      <c r="C1026" s="81" t="e">
        <f ca="1">VLOOKUP(B1026,Calc!$K$66:$L$76,2,FALSE)</f>
        <v>#N/A</v>
      </c>
      <c r="D1026" s="81" t="e">
        <f ca="1">VLOOKUP(B1026,Calc!$K$77:$L$87,2,FALSE)</f>
        <v>#N/A</v>
      </c>
      <c r="E1026" s="523" t="e">
        <f ca="1">VLOOKUP(B1026,Calc!$K$88:$L$98,2,FALSE)</f>
        <v>#N/A</v>
      </c>
      <c r="F1026" s="523" t="e">
        <f ca="1">IF(Errorhandling!$C$42,INDEX(Calc!$J$99:$J$109,MATCH(Display!B1026,Calc!$K$99:$K$109,0),1),#N/A)</f>
        <v>#N/A</v>
      </c>
    </row>
    <row r="1027" spans="2:6" x14ac:dyDescent="0.2">
      <c r="B1027" s="6">
        <f t="shared" si="19"/>
        <v>1024</v>
      </c>
      <c r="C1027" s="81" t="e">
        <f ca="1">VLOOKUP(B1027,Calc!$K$66:$L$76,2,FALSE)</f>
        <v>#N/A</v>
      </c>
      <c r="D1027" s="81" t="e">
        <f ca="1">VLOOKUP(B1027,Calc!$K$77:$L$87,2,FALSE)</f>
        <v>#N/A</v>
      </c>
      <c r="E1027" s="523" t="e">
        <f ca="1">VLOOKUP(B1027,Calc!$K$88:$L$98,2,FALSE)</f>
        <v>#N/A</v>
      </c>
      <c r="F1027" s="523" t="e">
        <f ca="1">IF(Errorhandling!$C$42,INDEX(Calc!$J$99:$J$109,MATCH(Display!B1027,Calc!$K$99:$K$109,0),1),#N/A)</f>
        <v>#N/A</v>
      </c>
    </row>
    <row r="1028" spans="2:6" x14ac:dyDescent="0.2">
      <c r="B1028" s="6">
        <f t="shared" si="19"/>
        <v>1025</v>
      </c>
      <c r="C1028" s="81" t="e">
        <f ca="1">VLOOKUP(B1028,Calc!$K$66:$L$76,2,FALSE)</f>
        <v>#N/A</v>
      </c>
      <c r="D1028" s="81" t="e">
        <f ca="1">VLOOKUP(B1028,Calc!$K$77:$L$87,2,FALSE)</f>
        <v>#N/A</v>
      </c>
      <c r="E1028" s="523" t="e">
        <f ca="1">VLOOKUP(B1028,Calc!$K$88:$L$98,2,FALSE)</f>
        <v>#N/A</v>
      </c>
      <c r="F1028" s="523" t="e">
        <f ca="1">IF(Errorhandling!$C$42,INDEX(Calc!$J$99:$J$109,MATCH(Display!B1028,Calc!$K$99:$K$109,0),1),#N/A)</f>
        <v>#N/A</v>
      </c>
    </row>
    <row r="1029" spans="2:6" x14ac:dyDescent="0.2">
      <c r="B1029" s="6">
        <f t="shared" si="19"/>
        <v>1026</v>
      </c>
      <c r="C1029" s="81" t="e">
        <f ca="1">VLOOKUP(B1029,Calc!$K$66:$L$76,2,FALSE)</f>
        <v>#N/A</v>
      </c>
      <c r="D1029" s="81" t="e">
        <f ca="1">VLOOKUP(B1029,Calc!$K$77:$L$87,2,FALSE)</f>
        <v>#N/A</v>
      </c>
      <c r="E1029" s="523" t="e">
        <f ca="1">VLOOKUP(B1029,Calc!$K$88:$L$98,2,FALSE)</f>
        <v>#N/A</v>
      </c>
      <c r="F1029" s="523" t="e">
        <f ca="1">IF(Errorhandling!$C$42,INDEX(Calc!$J$99:$J$109,MATCH(Display!B1029,Calc!$K$99:$K$109,0),1),#N/A)</f>
        <v>#N/A</v>
      </c>
    </row>
    <row r="1030" spans="2:6" x14ac:dyDescent="0.2">
      <c r="B1030" s="6">
        <f t="shared" si="19"/>
        <v>1027</v>
      </c>
      <c r="C1030" s="81" t="e">
        <f ca="1">VLOOKUP(B1030,Calc!$K$66:$L$76,2,FALSE)</f>
        <v>#N/A</v>
      </c>
      <c r="D1030" s="81" t="e">
        <f ca="1">VLOOKUP(B1030,Calc!$K$77:$L$87,2,FALSE)</f>
        <v>#N/A</v>
      </c>
      <c r="E1030" s="523" t="e">
        <f ca="1">VLOOKUP(B1030,Calc!$K$88:$L$98,2,FALSE)</f>
        <v>#N/A</v>
      </c>
      <c r="F1030" s="523" t="e">
        <f ca="1">IF(Errorhandling!$C$42,INDEX(Calc!$J$99:$J$109,MATCH(Display!B1030,Calc!$K$99:$K$109,0),1),#N/A)</f>
        <v>#N/A</v>
      </c>
    </row>
    <row r="1031" spans="2:6" x14ac:dyDescent="0.2">
      <c r="B1031" s="6">
        <f t="shared" ref="B1031:B1094" si="20">1+B1030</f>
        <v>1028</v>
      </c>
      <c r="C1031" s="81" t="e">
        <f ca="1">VLOOKUP(B1031,Calc!$K$66:$L$76,2,FALSE)</f>
        <v>#N/A</v>
      </c>
      <c r="D1031" s="81" t="e">
        <f ca="1">VLOOKUP(B1031,Calc!$K$77:$L$87,2,FALSE)</f>
        <v>#N/A</v>
      </c>
      <c r="E1031" s="523" t="e">
        <f ca="1">VLOOKUP(B1031,Calc!$K$88:$L$98,2,FALSE)</f>
        <v>#N/A</v>
      </c>
      <c r="F1031" s="523" t="e">
        <f ca="1">IF(Errorhandling!$C$42,INDEX(Calc!$J$99:$J$109,MATCH(Display!B1031,Calc!$K$99:$K$109,0),1),#N/A)</f>
        <v>#N/A</v>
      </c>
    </row>
    <row r="1032" spans="2:6" x14ac:dyDescent="0.2">
      <c r="B1032" s="6">
        <f t="shared" si="20"/>
        <v>1029</v>
      </c>
      <c r="C1032" s="81" t="e">
        <f ca="1">VLOOKUP(B1032,Calc!$K$66:$L$76,2,FALSE)</f>
        <v>#N/A</v>
      </c>
      <c r="D1032" s="81" t="e">
        <f ca="1">VLOOKUP(B1032,Calc!$K$77:$L$87,2,FALSE)</f>
        <v>#N/A</v>
      </c>
      <c r="E1032" s="523" t="e">
        <f ca="1">VLOOKUP(B1032,Calc!$K$88:$L$98,2,FALSE)</f>
        <v>#N/A</v>
      </c>
      <c r="F1032" s="523" t="e">
        <f ca="1">IF(Errorhandling!$C$42,INDEX(Calc!$J$99:$J$109,MATCH(Display!B1032,Calc!$K$99:$K$109,0),1),#N/A)</f>
        <v>#N/A</v>
      </c>
    </row>
    <row r="1033" spans="2:6" x14ac:dyDescent="0.2">
      <c r="B1033" s="6">
        <f t="shared" si="20"/>
        <v>1030</v>
      </c>
      <c r="C1033" s="81" t="e">
        <f ca="1">VLOOKUP(B1033,Calc!$K$66:$L$76,2,FALSE)</f>
        <v>#N/A</v>
      </c>
      <c r="D1033" s="81" t="e">
        <f ca="1">VLOOKUP(B1033,Calc!$K$77:$L$87,2,FALSE)</f>
        <v>#N/A</v>
      </c>
      <c r="E1033" s="523" t="e">
        <f ca="1">VLOOKUP(B1033,Calc!$K$88:$L$98,2,FALSE)</f>
        <v>#N/A</v>
      </c>
      <c r="F1033" s="523" t="e">
        <f ca="1">IF(Errorhandling!$C$42,INDEX(Calc!$J$99:$J$109,MATCH(Display!B1033,Calc!$K$99:$K$109,0),1),#N/A)</f>
        <v>#N/A</v>
      </c>
    </row>
    <row r="1034" spans="2:6" x14ac:dyDescent="0.2">
      <c r="B1034" s="6">
        <f t="shared" si="20"/>
        <v>1031</v>
      </c>
      <c r="C1034" s="81" t="e">
        <f ca="1">VLOOKUP(B1034,Calc!$K$66:$L$76,2,FALSE)</f>
        <v>#N/A</v>
      </c>
      <c r="D1034" s="81" t="e">
        <f ca="1">VLOOKUP(B1034,Calc!$K$77:$L$87,2,FALSE)</f>
        <v>#N/A</v>
      </c>
      <c r="E1034" s="523" t="e">
        <f ca="1">VLOOKUP(B1034,Calc!$K$88:$L$98,2,FALSE)</f>
        <v>#N/A</v>
      </c>
      <c r="F1034" s="523" t="e">
        <f ca="1">IF(Errorhandling!$C$42,INDEX(Calc!$J$99:$J$109,MATCH(Display!B1034,Calc!$K$99:$K$109,0),1),#N/A)</f>
        <v>#N/A</v>
      </c>
    </row>
    <row r="1035" spans="2:6" x14ac:dyDescent="0.2">
      <c r="B1035" s="6">
        <f t="shared" si="20"/>
        <v>1032</v>
      </c>
      <c r="C1035" s="81" t="e">
        <f ca="1">VLOOKUP(B1035,Calc!$K$66:$L$76,2,FALSE)</f>
        <v>#N/A</v>
      </c>
      <c r="D1035" s="81" t="e">
        <f ca="1">VLOOKUP(B1035,Calc!$K$77:$L$87,2,FALSE)</f>
        <v>#N/A</v>
      </c>
      <c r="E1035" s="523" t="e">
        <f ca="1">VLOOKUP(B1035,Calc!$K$88:$L$98,2,FALSE)</f>
        <v>#N/A</v>
      </c>
      <c r="F1035" s="523" t="e">
        <f ca="1">IF(Errorhandling!$C$42,INDEX(Calc!$J$99:$J$109,MATCH(Display!B1035,Calc!$K$99:$K$109,0),1),#N/A)</f>
        <v>#N/A</v>
      </c>
    </row>
    <row r="1036" spans="2:6" x14ac:dyDescent="0.2">
      <c r="B1036" s="6">
        <f t="shared" si="20"/>
        <v>1033</v>
      </c>
      <c r="C1036" s="81" t="e">
        <f ca="1">VLOOKUP(B1036,Calc!$K$66:$L$76,2,FALSE)</f>
        <v>#N/A</v>
      </c>
      <c r="D1036" s="81" t="e">
        <f ca="1">VLOOKUP(B1036,Calc!$K$77:$L$87,2,FALSE)</f>
        <v>#N/A</v>
      </c>
      <c r="E1036" s="523" t="e">
        <f ca="1">VLOOKUP(B1036,Calc!$K$88:$L$98,2,FALSE)</f>
        <v>#N/A</v>
      </c>
      <c r="F1036" s="523" t="e">
        <f ca="1">IF(Errorhandling!$C$42,INDEX(Calc!$J$99:$J$109,MATCH(Display!B1036,Calc!$K$99:$K$109,0),1),#N/A)</f>
        <v>#N/A</v>
      </c>
    </row>
    <row r="1037" spans="2:6" x14ac:dyDescent="0.2">
      <c r="B1037" s="6">
        <f t="shared" si="20"/>
        <v>1034</v>
      </c>
      <c r="C1037" s="81" t="e">
        <f ca="1">VLOOKUP(B1037,Calc!$K$66:$L$76,2,FALSE)</f>
        <v>#N/A</v>
      </c>
      <c r="D1037" s="81" t="e">
        <f ca="1">VLOOKUP(B1037,Calc!$K$77:$L$87,2,FALSE)</f>
        <v>#N/A</v>
      </c>
      <c r="E1037" s="523" t="e">
        <f ca="1">VLOOKUP(B1037,Calc!$K$88:$L$98,2,FALSE)</f>
        <v>#N/A</v>
      </c>
      <c r="F1037" s="523" t="e">
        <f ca="1">IF(Errorhandling!$C$42,INDEX(Calc!$J$99:$J$109,MATCH(Display!B1037,Calc!$K$99:$K$109,0),1),#N/A)</f>
        <v>#N/A</v>
      </c>
    </row>
    <row r="1038" spans="2:6" x14ac:dyDescent="0.2">
      <c r="B1038" s="6">
        <f t="shared" si="20"/>
        <v>1035</v>
      </c>
      <c r="C1038" s="81" t="e">
        <f ca="1">VLOOKUP(B1038,Calc!$K$66:$L$76,2,FALSE)</f>
        <v>#N/A</v>
      </c>
      <c r="D1038" s="81" t="e">
        <f ca="1">VLOOKUP(B1038,Calc!$K$77:$L$87,2,FALSE)</f>
        <v>#N/A</v>
      </c>
      <c r="E1038" s="523" t="e">
        <f ca="1">VLOOKUP(B1038,Calc!$K$88:$L$98,2,FALSE)</f>
        <v>#N/A</v>
      </c>
      <c r="F1038" s="523" t="e">
        <f ca="1">IF(Errorhandling!$C$42,INDEX(Calc!$J$99:$J$109,MATCH(Display!B1038,Calc!$K$99:$K$109,0),1),#N/A)</f>
        <v>#N/A</v>
      </c>
    </row>
    <row r="1039" spans="2:6" x14ac:dyDescent="0.2">
      <c r="B1039" s="6">
        <f t="shared" si="20"/>
        <v>1036</v>
      </c>
      <c r="C1039" s="81" t="e">
        <f ca="1">VLOOKUP(B1039,Calc!$K$66:$L$76,2,FALSE)</f>
        <v>#N/A</v>
      </c>
      <c r="D1039" s="81" t="e">
        <f ca="1">VLOOKUP(B1039,Calc!$K$77:$L$87,2,FALSE)</f>
        <v>#N/A</v>
      </c>
      <c r="E1039" s="523" t="e">
        <f ca="1">VLOOKUP(B1039,Calc!$K$88:$L$98,2,FALSE)</f>
        <v>#N/A</v>
      </c>
      <c r="F1039" s="523" t="e">
        <f ca="1">IF(Errorhandling!$C$42,INDEX(Calc!$J$99:$J$109,MATCH(Display!B1039,Calc!$K$99:$K$109,0),1),#N/A)</f>
        <v>#N/A</v>
      </c>
    </row>
    <row r="1040" spans="2:6" x14ac:dyDescent="0.2">
      <c r="B1040" s="6">
        <f t="shared" si="20"/>
        <v>1037</v>
      </c>
      <c r="C1040" s="81" t="e">
        <f ca="1">VLOOKUP(B1040,Calc!$K$66:$L$76,2,FALSE)</f>
        <v>#N/A</v>
      </c>
      <c r="D1040" s="81" t="e">
        <f ca="1">VLOOKUP(B1040,Calc!$K$77:$L$87,2,FALSE)</f>
        <v>#N/A</v>
      </c>
      <c r="E1040" s="523" t="e">
        <f ca="1">VLOOKUP(B1040,Calc!$K$88:$L$98,2,FALSE)</f>
        <v>#N/A</v>
      </c>
      <c r="F1040" s="523" t="e">
        <f ca="1">IF(Errorhandling!$C$42,INDEX(Calc!$J$99:$J$109,MATCH(Display!B1040,Calc!$K$99:$K$109,0),1),#N/A)</f>
        <v>#N/A</v>
      </c>
    </row>
    <row r="1041" spans="2:6" x14ac:dyDescent="0.2">
      <c r="B1041" s="6">
        <f t="shared" si="20"/>
        <v>1038</v>
      </c>
      <c r="C1041" s="81" t="e">
        <f ca="1">VLOOKUP(B1041,Calc!$K$66:$L$76,2,FALSE)</f>
        <v>#N/A</v>
      </c>
      <c r="D1041" s="81" t="e">
        <f ca="1">VLOOKUP(B1041,Calc!$K$77:$L$87,2,FALSE)</f>
        <v>#N/A</v>
      </c>
      <c r="E1041" s="523" t="e">
        <f ca="1">VLOOKUP(B1041,Calc!$K$88:$L$98,2,FALSE)</f>
        <v>#N/A</v>
      </c>
      <c r="F1041" s="523" t="e">
        <f ca="1">IF(Errorhandling!$C$42,INDEX(Calc!$J$99:$J$109,MATCH(Display!B1041,Calc!$K$99:$K$109,0),1),#N/A)</f>
        <v>#N/A</v>
      </c>
    </row>
    <row r="1042" spans="2:6" x14ac:dyDescent="0.2">
      <c r="B1042" s="6">
        <f t="shared" si="20"/>
        <v>1039</v>
      </c>
      <c r="C1042" s="81" t="e">
        <f ca="1">VLOOKUP(B1042,Calc!$K$66:$L$76,2,FALSE)</f>
        <v>#N/A</v>
      </c>
      <c r="D1042" s="81" t="e">
        <f ca="1">VLOOKUP(B1042,Calc!$K$77:$L$87,2,FALSE)</f>
        <v>#N/A</v>
      </c>
      <c r="E1042" s="523" t="e">
        <f ca="1">VLOOKUP(B1042,Calc!$K$88:$L$98,2,FALSE)</f>
        <v>#N/A</v>
      </c>
      <c r="F1042" s="523" t="e">
        <f ca="1">IF(Errorhandling!$C$42,INDEX(Calc!$J$99:$J$109,MATCH(Display!B1042,Calc!$K$99:$K$109,0),1),#N/A)</f>
        <v>#N/A</v>
      </c>
    </row>
    <row r="1043" spans="2:6" x14ac:dyDescent="0.2">
      <c r="B1043" s="6">
        <f t="shared" si="20"/>
        <v>1040</v>
      </c>
      <c r="C1043" s="81" t="e">
        <f ca="1">VLOOKUP(B1043,Calc!$K$66:$L$76,2,FALSE)</f>
        <v>#N/A</v>
      </c>
      <c r="D1043" s="81" t="e">
        <f ca="1">VLOOKUP(B1043,Calc!$K$77:$L$87,2,FALSE)</f>
        <v>#N/A</v>
      </c>
      <c r="E1043" s="523" t="e">
        <f ca="1">VLOOKUP(B1043,Calc!$K$88:$L$98,2,FALSE)</f>
        <v>#N/A</v>
      </c>
      <c r="F1043" s="523" t="e">
        <f ca="1">IF(Errorhandling!$C$42,INDEX(Calc!$J$99:$J$109,MATCH(Display!B1043,Calc!$K$99:$K$109,0),1),#N/A)</f>
        <v>#N/A</v>
      </c>
    </row>
    <row r="1044" spans="2:6" x14ac:dyDescent="0.2">
      <c r="B1044" s="6">
        <f t="shared" si="20"/>
        <v>1041</v>
      </c>
      <c r="C1044" s="81" t="e">
        <f ca="1">VLOOKUP(B1044,Calc!$K$66:$L$76,2,FALSE)</f>
        <v>#N/A</v>
      </c>
      <c r="D1044" s="81" t="e">
        <f ca="1">VLOOKUP(B1044,Calc!$K$77:$L$87,2,FALSE)</f>
        <v>#N/A</v>
      </c>
      <c r="E1044" s="523" t="e">
        <f ca="1">VLOOKUP(B1044,Calc!$K$88:$L$98,2,FALSE)</f>
        <v>#N/A</v>
      </c>
      <c r="F1044" s="523" t="e">
        <f ca="1">IF(Errorhandling!$C$42,INDEX(Calc!$J$99:$J$109,MATCH(Display!B1044,Calc!$K$99:$K$109,0),1),#N/A)</f>
        <v>#N/A</v>
      </c>
    </row>
    <row r="1045" spans="2:6" x14ac:dyDescent="0.2">
      <c r="B1045" s="6">
        <f t="shared" si="20"/>
        <v>1042</v>
      </c>
      <c r="C1045" s="81" t="e">
        <f ca="1">VLOOKUP(B1045,Calc!$K$66:$L$76,2,FALSE)</f>
        <v>#N/A</v>
      </c>
      <c r="D1045" s="81" t="e">
        <f ca="1">VLOOKUP(B1045,Calc!$K$77:$L$87,2,FALSE)</f>
        <v>#N/A</v>
      </c>
      <c r="E1045" s="523" t="e">
        <f ca="1">VLOOKUP(B1045,Calc!$K$88:$L$98,2,FALSE)</f>
        <v>#N/A</v>
      </c>
      <c r="F1045" s="523" t="e">
        <f ca="1">IF(Errorhandling!$C$42,INDEX(Calc!$J$99:$J$109,MATCH(Display!B1045,Calc!$K$99:$K$109,0),1),#N/A)</f>
        <v>#N/A</v>
      </c>
    </row>
    <row r="1046" spans="2:6" x14ac:dyDescent="0.2">
      <c r="B1046" s="6">
        <f t="shared" si="20"/>
        <v>1043</v>
      </c>
      <c r="C1046" s="81" t="e">
        <f ca="1">VLOOKUP(B1046,Calc!$K$66:$L$76,2,FALSE)</f>
        <v>#N/A</v>
      </c>
      <c r="D1046" s="81" t="e">
        <f ca="1">VLOOKUP(B1046,Calc!$K$77:$L$87,2,FALSE)</f>
        <v>#N/A</v>
      </c>
      <c r="E1046" s="523" t="e">
        <f ca="1">VLOOKUP(B1046,Calc!$K$88:$L$98,2,FALSE)</f>
        <v>#N/A</v>
      </c>
      <c r="F1046" s="523" t="e">
        <f ca="1">IF(Errorhandling!$C$42,INDEX(Calc!$J$99:$J$109,MATCH(Display!B1046,Calc!$K$99:$K$109,0),1),#N/A)</f>
        <v>#N/A</v>
      </c>
    </row>
    <row r="1047" spans="2:6" x14ac:dyDescent="0.2">
      <c r="B1047" s="6">
        <f t="shared" si="20"/>
        <v>1044</v>
      </c>
      <c r="C1047" s="81" t="e">
        <f ca="1">VLOOKUP(B1047,Calc!$K$66:$L$76,2,FALSE)</f>
        <v>#N/A</v>
      </c>
      <c r="D1047" s="81" t="e">
        <f ca="1">VLOOKUP(B1047,Calc!$K$77:$L$87,2,FALSE)</f>
        <v>#N/A</v>
      </c>
      <c r="E1047" s="523" t="e">
        <f ca="1">VLOOKUP(B1047,Calc!$K$88:$L$98,2,FALSE)</f>
        <v>#N/A</v>
      </c>
      <c r="F1047" s="523" t="e">
        <f ca="1">IF(Errorhandling!$C$42,INDEX(Calc!$J$99:$J$109,MATCH(Display!B1047,Calc!$K$99:$K$109,0),1),#N/A)</f>
        <v>#N/A</v>
      </c>
    </row>
    <row r="1048" spans="2:6" x14ac:dyDescent="0.2">
      <c r="B1048" s="6">
        <f t="shared" si="20"/>
        <v>1045</v>
      </c>
      <c r="C1048" s="81" t="e">
        <f ca="1">VLOOKUP(B1048,Calc!$K$66:$L$76,2,FALSE)</f>
        <v>#N/A</v>
      </c>
      <c r="D1048" s="81" t="e">
        <f ca="1">VLOOKUP(B1048,Calc!$K$77:$L$87,2,FALSE)</f>
        <v>#N/A</v>
      </c>
      <c r="E1048" s="523" t="e">
        <f ca="1">VLOOKUP(B1048,Calc!$K$88:$L$98,2,FALSE)</f>
        <v>#N/A</v>
      </c>
      <c r="F1048" s="523" t="e">
        <f ca="1">IF(Errorhandling!$C$42,INDEX(Calc!$J$99:$J$109,MATCH(Display!B1048,Calc!$K$99:$K$109,0),1),#N/A)</f>
        <v>#N/A</v>
      </c>
    </row>
    <row r="1049" spans="2:6" x14ac:dyDescent="0.2">
      <c r="B1049" s="6">
        <f t="shared" si="20"/>
        <v>1046</v>
      </c>
      <c r="C1049" s="81" t="e">
        <f ca="1">VLOOKUP(B1049,Calc!$K$66:$L$76,2,FALSE)</f>
        <v>#N/A</v>
      </c>
      <c r="D1049" s="81" t="e">
        <f ca="1">VLOOKUP(B1049,Calc!$K$77:$L$87,2,FALSE)</f>
        <v>#N/A</v>
      </c>
      <c r="E1049" s="523" t="e">
        <f ca="1">VLOOKUP(B1049,Calc!$K$88:$L$98,2,FALSE)</f>
        <v>#N/A</v>
      </c>
      <c r="F1049" s="523" t="e">
        <f ca="1">IF(Errorhandling!$C$42,INDEX(Calc!$J$99:$J$109,MATCH(Display!B1049,Calc!$K$99:$K$109,0),1),#N/A)</f>
        <v>#N/A</v>
      </c>
    </row>
    <row r="1050" spans="2:6" x14ac:dyDescent="0.2">
      <c r="B1050" s="6">
        <f t="shared" si="20"/>
        <v>1047</v>
      </c>
      <c r="C1050" s="81" t="e">
        <f ca="1">VLOOKUP(B1050,Calc!$K$66:$L$76,2,FALSE)</f>
        <v>#N/A</v>
      </c>
      <c r="D1050" s="81" t="e">
        <f ca="1">VLOOKUP(B1050,Calc!$K$77:$L$87,2,FALSE)</f>
        <v>#N/A</v>
      </c>
      <c r="E1050" s="523" t="e">
        <f ca="1">VLOOKUP(B1050,Calc!$K$88:$L$98,2,FALSE)</f>
        <v>#N/A</v>
      </c>
      <c r="F1050" s="523" t="e">
        <f ca="1">IF(Errorhandling!$C$42,INDEX(Calc!$J$99:$J$109,MATCH(Display!B1050,Calc!$K$99:$K$109,0),1),#N/A)</f>
        <v>#N/A</v>
      </c>
    </row>
    <row r="1051" spans="2:6" x14ac:dyDescent="0.2">
      <c r="B1051" s="6">
        <f t="shared" si="20"/>
        <v>1048</v>
      </c>
      <c r="C1051" s="81" t="e">
        <f ca="1">VLOOKUP(B1051,Calc!$K$66:$L$76,2,FALSE)</f>
        <v>#N/A</v>
      </c>
      <c r="D1051" s="81" t="e">
        <f ca="1">VLOOKUP(B1051,Calc!$K$77:$L$87,2,FALSE)</f>
        <v>#N/A</v>
      </c>
      <c r="E1051" s="523" t="e">
        <f ca="1">VLOOKUP(B1051,Calc!$K$88:$L$98,2,FALSE)</f>
        <v>#N/A</v>
      </c>
      <c r="F1051" s="523" t="e">
        <f ca="1">IF(Errorhandling!$C$42,INDEX(Calc!$J$99:$J$109,MATCH(Display!B1051,Calc!$K$99:$K$109,0),1),#N/A)</f>
        <v>#N/A</v>
      </c>
    </row>
    <row r="1052" spans="2:6" x14ac:dyDescent="0.2">
      <c r="B1052" s="6">
        <f t="shared" si="20"/>
        <v>1049</v>
      </c>
      <c r="C1052" s="81" t="e">
        <f ca="1">VLOOKUP(B1052,Calc!$K$66:$L$76,2,FALSE)</f>
        <v>#N/A</v>
      </c>
      <c r="D1052" s="81" t="e">
        <f ca="1">VLOOKUP(B1052,Calc!$K$77:$L$87,2,FALSE)</f>
        <v>#N/A</v>
      </c>
      <c r="E1052" s="523" t="e">
        <f ca="1">VLOOKUP(B1052,Calc!$K$88:$L$98,2,FALSE)</f>
        <v>#N/A</v>
      </c>
      <c r="F1052" s="523" t="e">
        <f ca="1">IF(Errorhandling!$C$42,INDEX(Calc!$J$99:$J$109,MATCH(Display!B1052,Calc!$K$99:$K$109,0),1),#N/A)</f>
        <v>#N/A</v>
      </c>
    </row>
    <row r="1053" spans="2:6" x14ac:dyDescent="0.2">
      <c r="B1053" s="6">
        <f t="shared" si="20"/>
        <v>1050</v>
      </c>
      <c r="C1053" s="81" t="e">
        <f ca="1">VLOOKUP(B1053,Calc!$K$66:$L$76,2,FALSE)</f>
        <v>#N/A</v>
      </c>
      <c r="D1053" s="81" t="e">
        <f ca="1">VLOOKUP(B1053,Calc!$K$77:$L$87,2,FALSE)</f>
        <v>#N/A</v>
      </c>
      <c r="E1053" s="523" t="e">
        <f ca="1">VLOOKUP(B1053,Calc!$K$88:$L$98,2,FALSE)</f>
        <v>#N/A</v>
      </c>
      <c r="F1053" s="523" t="e">
        <f ca="1">IF(Errorhandling!$C$42,INDEX(Calc!$J$99:$J$109,MATCH(Display!B1053,Calc!$K$99:$K$109,0),1),#N/A)</f>
        <v>#N/A</v>
      </c>
    </row>
    <row r="1054" spans="2:6" x14ac:dyDescent="0.2">
      <c r="B1054" s="6">
        <f t="shared" si="20"/>
        <v>1051</v>
      </c>
      <c r="C1054" s="81" t="e">
        <f ca="1">VLOOKUP(B1054,Calc!$K$66:$L$76,2,FALSE)</f>
        <v>#N/A</v>
      </c>
      <c r="D1054" s="81" t="e">
        <f ca="1">VLOOKUP(B1054,Calc!$K$77:$L$87,2,FALSE)</f>
        <v>#N/A</v>
      </c>
      <c r="E1054" s="523" t="e">
        <f ca="1">VLOOKUP(B1054,Calc!$K$88:$L$98,2,FALSE)</f>
        <v>#N/A</v>
      </c>
      <c r="F1054" s="523" t="e">
        <f ca="1">IF(Errorhandling!$C$42,INDEX(Calc!$J$99:$J$109,MATCH(Display!B1054,Calc!$K$99:$K$109,0),1),#N/A)</f>
        <v>#N/A</v>
      </c>
    </row>
    <row r="1055" spans="2:6" x14ac:dyDescent="0.2">
      <c r="B1055" s="6">
        <f t="shared" si="20"/>
        <v>1052</v>
      </c>
      <c r="C1055" s="81" t="e">
        <f ca="1">VLOOKUP(B1055,Calc!$K$66:$L$76,2,FALSE)</f>
        <v>#N/A</v>
      </c>
      <c r="D1055" s="81" t="e">
        <f ca="1">VLOOKUP(B1055,Calc!$K$77:$L$87,2,FALSE)</f>
        <v>#N/A</v>
      </c>
      <c r="E1055" s="523" t="e">
        <f ca="1">VLOOKUP(B1055,Calc!$K$88:$L$98,2,FALSE)</f>
        <v>#N/A</v>
      </c>
      <c r="F1055" s="523" t="e">
        <f ca="1">IF(Errorhandling!$C$42,INDEX(Calc!$J$99:$J$109,MATCH(Display!B1055,Calc!$K$99:$K$109,0),1),#N/A)</f>
        <v>#N/A</v>
      </c>
    </row>
    <row r="1056" spans="2:6" x14ac:dyDescent="0.2">
      <c r="B1056" s="6">
        <f t="shared" si="20"/>
        <v>1053</v>
      </c>
      <c r="C1056" s="81" t="e">
        <f ca="1">VLOOKUP(B1056,Calc!$K$66:$L$76,2,FALSE)</f>
        <v>#N/A</v>
      </c>
      <c r="D1056" s="81" t="e">
        <f ca="1">VLOOKUP(B1056,Calc!$K$77:$L$87,2,FALSE)</f>
        <v>#N/A</v>
      </c>
      <c r="E1056" s="523" t="e">
        <f ca="1">VLOOKUP(B1056,Calc!$K$88:$L$98,2,FALSE)</f>
        <v>#N/A</v>
      </c>
      <c r="F1056" s="523" t="e">
        <f ca="1">IF(Errorhandling!$C$42,INDEX(Calc!$J$99:$J$109,MATCH(Display!B1056,Calc!$K$99:$K$109,0),1),#N/A)</f>
        <v>#N/A</v>
      </c>
    </row>
    <row r="1057" spans="2:6" x14ac:dyDescent="0.2">
      <c r="B1057" s="6">
        <f t="shared" si="20"/>
        <v>1054</v>
      </c>
      <c r="C1057" s="81" t="e">
        <f ca="1">VLOOKUP(B1057,Calc!$K$66:$L$76,2,FALSE)</f>
        <v>#N/A</v>
      </c>
      <c r="D1057" s="81" t="e">
        <f ca="1">VLOOKUP(B1057,Calc!$K$77:$L$87,2,FALSE)</f>
        <v>#N/A</v>
      </c>
      <c r="E1057" s="523" t="e">
        <f ca="1">VLOOKUP(B1057,Calc!$K$88:$L$98,2,FALSE)</f>
        <v>#N/A</v>
      </c>
      <c r="F1057" s="523" t="e">
        <f ca="1">IF(Errorhandling!$C$42,INDEX(Calc!$J$99:$J$109,MATCH(Display!B1057,Calc!$K$99:$K$109,0),1),#N/A)</f>
        <v>#N/A</v>
      </c>
    </row>
    <row r="1058" spans="2:6" x14ac:dyDescent="0.2">
      <c r="B1058" s="6">
        <f t="shared" si="20"/>
        <v>1055</v>
      </c>
      <c r="C1058" s="81" t="e">
        <f ca="1">VLOOKUP(B1058,Calc!$K$66:$L$76,2,FALSE)</f>
        <v>#N/A</v>
      </c>
      <c r="D1058" s="81" t="e">
        <f ca="1">VLOOKUP(B1058,Calc!$K$77:$L$87,2,FALSE)</f>
        <v>#N/A</v>
      </c>
      <c r="E1058" s="523" t="e">
        <f ca="1">VLOOKUP(B1058,Calc!$K$88:$L$98,2,FALSE)</f>
        <v>#N/A</v>
      </c>
      <c r="F1058" s="523" t="e">
        <f ca="1">IF(Errorhandling!$C$42,INDEX(Calc!$J$99:$J$109,MATCH(Display!B1058,Calc!$K$99:$K$109,0),1),#N/A)</f>
        <v>#N/A</v>
      </c>
    </row>
    <row r="1059" spans="2:6" x14ac:dyDescent="0.2">
      <c r="B1059" s="6">
        <f t="shared" si="20"/>
        <v>1056</v>
      </c>
      <c r="C1059" s="81" t="e">
        <f ca="1">VLOOKUP(B1059,Calc!$K$66:$L$76,2,FALSE)</f>
        <v>#N/A</v>
      </c>
      <c r="D1059" s="81" t="e">
        <f ca="1">VLOOKUP(B1059,Calc!$K$77:$L$87,2,FALSE)</f>
        <v>#N/A</v>
      </c>
      <c r="E1059" s="523" t="e">
        <f ca="1">VLOOKUP(B1059,Calc!$K$88:$L$98,2,FALSE)</f>
        <v>#N/A</v>
      </c>
      <c r="F1059" s="523" t="e">
        <f ca="1">IF(Errorhandling!$C$42,INDEX(Calc!$J$99:$J$109,MATCH(Display!B1059,Calc!$K$99:$K$109,0),1),#N/A)</f>
        <v>#N/A</v>
      </c>
    </row>
    <row r="1060" spans="2:6" x14ac:dyDescent="0.2">
      <c r="B1060" s="6">
        <f t="shared" si="20"/>
        <v>1057</v>
      </c>
      <c r="C1060" s="81" t="e">
        <f ca="1">VLOOKUP(B1060,Calc!$K$66:$L$76,2,FALSE)</f>
        <v>#N/A</v>
      </c>
      <c r="D1060" s="81" t="e">
        <f ca="1">VLOOKUP(B1060,Calc!$K$77:$L$87,2,FALSE)</f>
        <v>#N/A</v>
      </c>
      <c r="E1060" s="523" t="e">
        <f ca="1">VLOOKUP(B1060,Calc!$K$88:$L$98,2,FALSE)</f>
        <v>#N/A</v>
      </c>
      <c r="F1060" s="523" t="e">
        <f ca="1">IF(Errorhandling!$C$42,INDEX(Calc!$J$99:$J$109,MATCH(Display!B1060,Calc!$K$99:$K$109,0),1),#N/A)</f>
        <v>#N/A</v>
      </c>
    </row>
    <row r="1061" spans="2:6" x14ac:dyDescent="0.2">
      <c r="B1061" s="6">
        <f t="shared" si="20"/>
        <v>1058</v>
      </c>
      <c r="C1061" s="81" t="e">
        <f ca="1">VLOOKUP(B1061,Calc!$K$66:$L$76,2,FALSE)</f>
        <v>#N/A</v>
      </c>
      <c r="D1061" s="81" t="e">
        <f ca="1">VLOOKUP(B1061,Calc!$K$77:$L$87,2,FALSE)</f>
        <v>#N/A</v>
      </c>
      <c r="E1061" s="523" t="e">
        <f ca="1">VLOOKUP(B1061,Calc!$K$88:$L$98,2,FALSE)</f>
        <v>#N/A</v>
      </c>
      <c r="F1061" s="523" t="e">
        <f ca="1">IF(Errorhandling!$C$42,INDEX(Calc!$J$99:$J$109,MATCH(Display!B1061,Calc!$K$99:$K$109,0),1),#N/A)</f>
        <v>#N/A</v>
      </c>
    </row>
    <row r="1062" spans="2:6" x14ac:dyDescent="0.2">
      <c r="B1062" s="6">
        <f t="shared" si="20"/>
        <v>1059</v>
      </c>
      <c r="C1062" s="81" t="e">
        <f ca="1">VLOOKUP(B1062,Calc!$K$66:$L$76,2,FALSE)</f>
        <v>#N/A</v>
      </c>
      <c r="D1062" s="81" t="e">
        <f ca="1">VLOOKUP(B1062,Calc!$K$77:$L$87,2,FALSE)</f>
        <v>#N/A</v>
      </c>
      <c r="E1062" s="523" t="e">
        <f ca="1">VLOOKUP(B1062,Calc!$K$88:$L$98,2,FALSE)</f>
        <v>#N/A</v>
      </c>
      <c r="F1062" s="523" t="e">
        <f ca="1">IF(Errorhandling!$C$42,INDEX(Calc!$J$99:$J$109,MATCH(Display!B1062,Calc!$K$99:$K$109,0),1),#N/A)</f>
        <v>#N/A</v>
      </c>
    </row>
    <row r="1063" spans="2:6" x14ac:dyDescent="0.2">
      <c r="B1063" s="6">
        <f t="shared" si="20"/>
        <v>1060</v>
      </c>
      <c r="C1063" s="81" t="e">
        <f ca="1">VLOOKUP(B1063,Calc!$K$66:$L$76,2,FALSE)</f>
        <v>#N/A</v>
      </c>
      <c r="D1063" s="81" t="e">
        <f ca="1">VLOOKUP(B1063,Calc!$K$77:$L$87,2,FALSE)</f>
        <v>#N/A</v>
      </c>
      <c r="E1063" s="523" t="e">
        <f ca="1">VLOOKUP(B1063,Calc!$K$88:$L$98,2,FALSE)</f>
        <v>#N/A</v>
      </c>
      <c r="F1063" s="523" t="e">
        <f ca="1">IF(Errorhandling!$C$42,INDEX(Calc!$J$99:$J$109,MATCH(Display!B1063,Calc!$K$99:$K$109,0),1),#N/A)</f>
        <v>#N/A</v>
      </c>
    </row>
    <row r="1064" spans="2:6" x14ac:dyDescent="0.2">
      <c r="B1064" s="6">
        <f t="shared" si="20"/>
        <v>1061</v>
      </c>
      <c r="C1064" s="81" t="e">
        <f ca="1">VLOOKUP(B1064,Calc!$K$66:$L$76,2,FALSE)</f>
        <v>#N/A</v>
      </c>
      <c r="D1064" s="81" t="e">
        <f ca="1">VLOOKUP(B1064,Calc!$K$77:$L$87,2,FALSE)</f>
        <v>#N/A</v>
      </c>
      <c r="E1064" s="523" t="e">
        <f ca="1">VLOOKUP(B1064,Calc!$K$88:$L$98,2,FALSE)</f>
        <v>#N/A</v>
      </c>
      <c r="F1064" s="523" t="e">
        <f ca="1">IF(Errorhandling!$C$42,INDEX(Calc!$J$99:$J$109,MATCH(Display!B1064,Calc!$K$99:$K$109,0),1),#N/A)</f>
        <v>#N/A</v>
      </c>
    </row>
    <row r="1065" spans="2:6" x14ac:dyDescent="0.2">
      <c r="B1065" s="6">
        <f t="shared" si="20"/>
        <v>1062</v>
      </c>
      <c r="C1065" s="81" t="e">
        <f ca="1">VLOOKUP(B1065,Calc!$K$66:$L$76,2,FALSE)</f>
        <v>#N/A</v>
      </c>
      <c r="D1065" s="81" t="e">
        <f ca="1">VLOOKUP(B1065,Calc!$K$77:$L$87,2,FALSE)</f>
        <v>#N/A</v>
      </c>
      <c r="E1065" s="523" t="e">
        <f ca="1">VLOOKUP(B1065,Calc!$K$88:$L$98,2,FALSE)</f>
        <v>#N/A</v>
      </c>
      <c r="F1065" s="523" t="e">
        <f ca="1">IF(Errorhandling!$C$42,INDEX(Calc!$J$99:$J$109,MATCH(Display!B1065,Calc!$K$99:$K$109,0),1),#N/A)</f>
        <v>#N/A</v>
      </c>
    </row>
    <row r="1066" spans="2:6" x14ac:dyDescent="0.2">
      <c r="B1066" s="6">
        <f t="shared" si="20"/>
        <v>1063</v>
      </c>
      <c r="C1066" s="81" t="e">
        <f ca="1">VLOOKUP(B1066,Calc!$K$66:$L$76,2,FALSE)</f>
        <v>#N/A</v>
      </c>
      <c r="D1066" s="81" t="e">
        <f ca="1">VLOOKUP(B1066,Calc!$K$77:$L$87,2,FALSE)</f>
        <v>#N/A</v>
      </c>
      <c r="E1066" s="523" t="e">
        <f ca="1">VLOOKUP(B1066,Calc!$K$88:$L$98,2,FALSE)</f>
        <v>#N/A</v>
      </c>
      <c r="F1066" s="523" t="e">
        <f ca="1">IF(Errorhandling!$C$42,INDEX(Calc!$J$99:$J$109,MATCH(Display!B1066,Calc!$K$99:$K$109,0),1),#N/A)</f>
        <v>#N/A</v>
      </c>
    </row>
    <row r="1067" spans="2:6" x14ac:dyDescent="0.2">
      <c r="B1067" s="6">
        <f t="shared" si="20"/>
        <v>1064</v>
      </c>
      <c r="C1067" s="81" t="e">
        <f ca="1">VLOOKUP(B1067,Calc!$K$66:$L$76,2,FALSE)</f>
        <v>#N/A</v>
      </c>
      <c r="D1067" s="81" t="e">
        <f ca="1">VLOOKUP(B1067,Calc!$K$77:$L$87,2,FALSE)</f>
        <v>#N/A</v>
      </c>
      <c r="E1067" s="523" t="e">
        <f ca="1">VLOOKUP(B1067,Calc!$K$88:$L$98,2,FALSE)</f>
        <v>#N/A</v>
      </c>
      <c r="F1067" s="523" t="e">
        <f ca="1">IF(Errorhandling!$C$42,INDEX(Calc!$J$99:$J$109,MATCH(Display!B1067,Calc!$K$99:$K$109,0),1),#N/A)</f>
        <v>#N/A</v>
      </c>
    </row>
    <row r="1068" spans="2:6" x14ac:dyDescent="0.2">
      <c r="B1068" s="6">
        <f t="shared" si="20"/>
        <v>1065</v>
      </c>
      <c r="C1068" s="81" t="e">
        <f ca="1">VLOOKUP(B1068,Calc!$K$66:$L$76,2,FALSE)</f>
        <v>#N/A</v>
      </c>
      <c r="D1068" s="81" t="e">
        <f ca="1">VLOOKUP(B1068,Calc!$K$77:$L$87,2,FALSE)</f>
        <v>#N/A</v>
      </c>
      <c r="E1068" s="523" t="e">
        <f ca="1">VLOOKUP(B1068,Calc!$K$88:$L$98,2,FALSE)</f>
        <v>#N/A</v>
      </c>
      <c r="F1068" s="523" t="e">
        <f ca="1">IF(Errorhandling!$C$42,INDEX(Calc!$J$99:$J$109,MATCH(Display!B1068,Calc!$K$99:$K$109,0),1),#N/A)</f>
        <v>#N/A</v>
      </c>
    </row>
    <row r="1069" spans="2:6" x14ac:dyDescent="0.2">
      <c r="B1069" s="6">
        <f t="shared" si="20"/>
        <v>1066</v>
      </c>
      <c r="C1069" s="81" t="e">
        <f ca="1">VLOOKUP(B1069,Calc!$K$66:$L$76,2,FALSE)</f>
        <v>#N/A</v>
      </c>
      <c r="D1069" s="81" t="e">
        <f ca="1">VLOOKUP(B1069,Calc!$K$77:$L$87,2,FALSE)</f>
        <v>#N/A</v>
      </c>
      <c r="E1069" s="523" t="e">
        <f ca="1">VLOOKUP(B1069,Calc!$K$88:$L$98,2,FALSE)</f>
        <v>#N/A</v>
      </c>
      <c r="F1069" s="523" t="e">
        <f ca="1">IF(Errorhandling!$C$42,INDEX(Calc!$J$99:$J$109,MATCH(Display!B1069,Calc!$K$99:$K$109,0),1),#N/A)</f>
        <v>#N/A</v>
      </c>
    </row>
    <row r="1070" spans="2:6" x14ac:dyDescent="0.2">
      <c r="B1070" s="6">
        <f t="shared" si="20"/>
        <v>1067</v>
      </c>
      <c r="C1070" s="81" t="e">
        <f ca="1">VLOOKUP(B1070,Calc!$K$66:$L$76,2,FALSE)</f>
        <v>#N/A</v>
      </c>
      <c r="D1070" s="81" t="e">
        <f ca="1">VLOOKUP(B1070,Calc!$K$77:$L$87,2,FALSE)</f>
        <v>#N/A</v>
      </c>
      <c r="E1070" s="523" t="e">
        <f ca="1">VLOOKUP(B1070,Calc!$K$88:$L$98,2,FALSE)</f>
        <v>#N/A</v>
      </c>
      <c r="F1070" s="523" t="e">
        <f ca="1">IF(Errorhandling!$C$42,INDEX(Calc!$J$99:$J$109,MATCH(Display!B1070,Calc!$K$99:$K$109,0),1),#N/A)</f>
        <v>#N/A</v>
      </c>
    </row>
    <row r="1071" spans="2:6" x14ac:dyDescent="0.2">
      <c r="B1071" s="6">
        <f t="shared" si="20"/>
        <v>1068</v>
      </c>
      <c r="C1071" s="81" t="e">
        <f ca="1">VLOOKUP(B1071,Calc!$K$66:$L$76,2,FALSE)</f>
        <v>#N/A</v>
      </c>
      <c r="D1071" s="81" t="e">
        <f ca="1">VLOOKUP(B1071,Calc!$K$77:$L$87,2,FALSE)</f>
        <v>#N/A</v>
      </c>
      <c r="E1071" s="523" t="e">
        <f ca="1">VLOOKUP(B1071,Calc!$K$88:$L$98,2,FALSE)</f>
        <v>#N/A</v>
      </c>
      <c r="F1071" s="523" t="e">
        <f ca="1">IF(Errorhandling!$C$42,INDEX(Calc!$J$99:$J$109,MATCH(Display!B1071,Calc!$K$99:$K$109,0),1),#N/A)</f>
        <v>#N/A</v>
      </c>
    </row>
    <row r="1072" spans="2:6" x14ac:dyDescent="0.2">
      <c r="B1072" s="6">
        <f t="shared" si="20"/>
        <v>1069</v>
      </c>
      <c r="C1072" s="81" t="e">
        <f ca="1">VLOOKUP(B1072,Calc!$K$66:$L$76,2,FALSE)</f>
        <v>#N/A</v>
      </c>
      <c r="D1072" s="81" t="e">
        <f ca="1">VLOOKUP(B1072,Calc!$K$77:$L$87,2,FALSE)</f>
        <v>#N/A</v>
      </c>
      <c r="E1072" s="523" t="e">
        <f ca="1">VLOOKUP(B1072,Calc!$K$88:$L$98,2,FALSE)</f>
        <v>#N/A</v>
      </c>
      <c r="F1072" s="523" t="e">
        <f ca="1">IF(Errorhandling!$C$42,INDEX(Calc!$J$99:$J$109,MATCH(Display!B1072,Calc!$K$99:$K$109,0),1),#N/A)</f>
        <v>#N/A</v>
      </c>
    </row>
    <row r="1073" spans="2:6" x14ac:dyDescent="0.2">
      <c r="B1073" s="6">
        <f t="shared" si="20"/>
        <v>1070</v>
      </c>
      <c r="C1073" s="81" t="e">
        <f ca="1">VLOOKUP(B1073,Calc!$K$66:$L$76,2,FALSE)</f>
        <v>#N/A</v>
      </c>
      <c r="D1073" s="81" t="e">
        <f ca="1">VLOOKUP(B1073,Calc!$K$77:$L$87,2,FALSE)</f>
        <v>#N/A</v>
      </c>
      <c r="E1073" s="523" t="e">
        <f ca="1">VLOOKUP(B1073,Calc!$K$88:$L$98,2,FALSE)</f>
        <v>#N/A</v>
      </c>
      <c r="F1073" s="523" t="e">
        <f ca="1">IF(Errorhandling!$C$42,INDEX(Calc!$J$99:$J$109,MATCH(Display!B1073,Calc!$K$99:$K$109,0),1),#N/A)</f>
        <v>#N/A</v>
      </c>
    </row>
    <row r="1074" spans="2:6" x14ac:dyDescent="0.2">
      <c r="B1074" s="6">
        <f t="shared" si="20"/>
        <v>1071</v>
      </c>
      <c r="C1074" s="81" t="e">
        <f ca="1">VLOOKUP(B1074,Calc!$K$66:$L$76,2,FALSE)</f>
        <v>#N/A</v>
      </c>
      <c r="D1074" s="81" t="e">
        <f ca="1">VLOOKUP(B1074,Calc!$K$77:$L$87,2,FALSE)</f>
        <v>#N/A</v>
      </c>
      <c r="E1074" s="523" t="e">
        <f ca="1">VLOOKUP(B1074,Calc!$K$88:$L$98,2,FALSE)</f>
        <v>#N/A</v>
      </c>
      <c r="F1074" s="523" t="e">
        <f ca="1">IF(Errorhandling!$C$42,INDEX(Calc!$J$99:$J$109,MATCH(Display!B1074,Calc!$K$99:$K$109,0),1),#N/A)</f>
        <v>#N/A</v>
      </c>
    </row>
    <row r="1075" spans="2:6" x14ac:dyDescent="0.2">
      <c r="B1075" s="6">
        <f t="shared" si="20"/>
        <v>1072</v>
      </c>
      <c r="C1075" s="81" t="e">
        <f ca="1">VLOOKUP(B1075,Calc!$K$66:$L$76,2,FALSE)</f>
        <v>#N/A</v>
      </c>
      <c r="D1075" s="81" t="e">
        <f ca="1">VLOOKUP(B1075,Calc!$K$77:$L$87,2,FALSE)</f>
        <v>#N/A</v>
      </c>
      <c r="E1075" s="523" t="e">
        <f ca="1">VLOOKUP(B1075,Calc!$K$88:$L$98,2,FALSE)</f>
        <v>#N/A</v>
      </c>
      <c r="F1075" s="523" t="e">
        <f ca="1">IF(Errorhandling!$C$42,INDEX(Calc!$J$99:$J$109,MATCH(Display!B1075,Calc!$K$99:$K$109,0),1),#N/A)</f>
        <v>#N/A</v>
      </c>
    </row>
    <row r="1076" spans="2:6" x14ac:dyDescent="0.2">
      <c r="B1076" s="6">
        <f t="shared" si="20"/>
        <v>1073</v>
      </c>
      <c r="C1076" s="81" t="e">
        <f ca="1">VLOOKUP(B1076,Calc!$K$66:$L$76,2,FALSE)</f>
        <v>#N/A</v>
      </c>
      <c r="D1076" s="81" t="e">
        <f ca="1">VLOOKUP(B1076,Calc!$K$77:$L$87,2,FALSE)</f>
        <v>#N/A</v>
      </c>
      <c r="E1076" s="523" t="e">
        <f ca="1">VLOOKUP(B1076,Calc!$K$88:$L$98,2,FALSE)</f>
        <v>#N/A</v>
      </c>
      <c r="F1076" s="523" t="e">
        <f ca="1">IF(Errorhandling!$C$42,INDEX(Calc!$J$99:$J$109,MATCH(Display!B1076,Calc!$K$99:$K$109,0),1),#N/A)</f>
        <v>#N/A</v>
      </c>
    </row>
    <row r="1077" spans="2:6" x14ac:dyDescent="0.2">
      <c r="B1077" s="6">
        <f t="shared" si="20"/>
        <v>1074</v>
      </c>
      <c r="C1077" s="81" t="e">
        <f ca="1">VLOOKUP(B1077,Calc!$K$66:$L$76,2,FALSE)</f>
        <v>#N/A</v>
      </c>
      <c r="D1077" s="81" t="e">
        <f ca="1">VLOOKUP(B1077,Calc!$K$77:$L$87,2,FALSE)</f>
        <v>#N/A</v>
      </c>
      <c r="E1077" s="523" t="e">
        <f ca="1">VLOOKUP(B1077,Calc!$K$88:$L$98,2,FALSE)</f>
        <v>#N/A</v>
      </c>
      <c r="F1077" s="523" t="e">
        <f ca="1">IF(Errorhandling!$C$42,INDEX(Calc!$J$99:$J$109,MATCH(Display!B1077,Calc!$K$99:$K$109,0),1),#N/A)</f>
        <v>#N/A</v>
      </c>
    </row>
    <row r="1078" spans="2:6" x14ac:dyDescent="0.2">
      <c r="B1078" s="6">
        <f t="shared" si="20"/>
        <v>1075</v>
      </c>
      <c r="C1078" s="81" t="e">
        <f ca="1">VLOOKUP(B1078,Calc!$K$66:$L$76,2,FALSE)</f>
        <v>#N/A</v>
      </c>
      <c r="D1078" s="81" t="e">
        <f ca="1">VLOOKUP(B1078,Calc!$K$77:$L$87,2,FALSE)</f>
        <v>#N/A</v>
      </c>
      <c r="E1078" s="523" t="e">
        <f ca="1">VLOOKUP(B1078,Calc!$K$88:$L$98,2,FALSE)</f>
        <v>#N/A</v>
      </c>
      <c r="F1078" s="523" t="e">
        <f ca="1">IF(Errorhandling!$C$42,INDEX(Calc!$J$99:$J$109,MATCH(Display!B1078,Calc!$K$99:$K$109,0),1),#N/A)</f>
        <v>#N/A</v>
      </c>
    </row>
    <row r="1079" spans="2:6" x14ac:dyDescent="0.2">
      <c r="B1079" s="6">
        <f t="shared" si="20"/>
        <v>1076</v>
      </c>
      <c r="C1079" s="81" t="e">
        <f ca="1">VLOOKUP(B1079,Calc!$K$66:$L$76,2,FALSE)</f>
        <v>#N/A</v>
      </c>
      <c r="D1079" s="81" t="e">
        <f ca="1">VLOOKUP(B1079,Calc!$K$77:$L$87,2,FALSE)</f>
        <v>#N/A</v>
      </c>
      <c r="E1079" s="523" t="e">
        <f ca="1">VLOOKUP(B1079,Calc!$K$88:$L$98,2,FALSE)</f>
        <v>#N/A</v>
      </c>
      <c r="F1079" s="523" t="e">
        <f ca="1">IF(Errorhandling!$C$42,INDEX(Calc!$J$99:$J$109,MATCH(Display!B1079,Calc!$K$99:$K$109,0),1),#N/A)</f>
        <v>#N/A</v>
      </c>
    </row>
    <row r="1080" spans="2:6" x14ac:dyDescent="0.2">
      <c r="B1080" s="6">
        <f t="shared" si="20"/>
        <v>1077</v>
      </c>
      <c r="C1080" s="81" t="e">
        <f ca="1">VLOOKUP(B1080,Calc!$K$66:$L$76,2,FALSE)</f>
        <v>#N/A</v>
      </c>
      <c r="D1080" s="81" t="e">
        <f ca="1">VLOOKUP(B1080,Calc!$K$77:$L$87,2,FALSE)</f>
        <v>#N/A</v>
      </c>
      <c r="E1080" s="523" t="e">
        <f ca="1">VLOOKUP(B1080,Calc!$K$88:$L$98,2,FALSE)</f>
        <v>#N/A</v>
      </c>
      <c r="F1080" s="523" t="e">
        <f ca="1">IF(Errorhandling!$C$42,INDEX(Calc!$J$99:$J$109,MATCH(Display!B1080,Calc!$K$99:$K$109,0),1),#N/A)</f>
        <v>#N/A</v>
      </c>
    </row>
    <row r="1081" spans="2:6" x14ac:dyDescent="0.2">
      <c r="B1081" s="6">
        <f t="shared" si="20"/>
        <v>1078</v>
      </c>
      <c r="C1081" s="81" t="e">
        <f ca="1">VLOOKUP(B1081,Calc!$K$66:$L$76,2,FALSE)</f>
        <v>#N/A</v>
      </c>
      <c r="D1081" s="81" t="e">
        <f ca="1">VLOOKUP(B1081,Calc!$K$77:$L$87,2,FALSE)</f>
        <v>#N/A</v>
      </c>
      <c r="E1081" s="523" t="e">
        <f ca="1">VLOOKUP(B1081,Calc!$K$88:$L$98,2,FALSE)</f>
        <v>#N/A</v>
      </c>
      <c r="F1081" s="523" t="e">
        <f ca="1">IF(Errorhandling!$C$42,INDEX(Calc!$J$99:$J$109,MATCH(Display!B1081,Calc!$K$99:$K$109,0),1),#N/A)</f>
        <v>#N/A</v>
      </c>
    </row>
    <row r="1082" spans="2:6" x14ac:dyDescent="0.2">
      <c r="B1082" s="6">
        <f t="shared" si="20"/>
        <v>1079</v>
      </c>
      <c r="C1082" s="81" t="e">
        <f ca="1">VLOOKUP(B1082,Calc!$K$66:$L$76,2,FALSE)</f>
        <v>#N/A</v>
      </c>
      <c r="D1082" s="81" t="e">
        <f ca="1">VLOOKUP(B1082,Calc!$K$77:$L$87,2,FALSE)</f>
        <v>#N/A</v>
      </c>
      <c r="E1082" s="523" t="e">
        <f ca="1">VLOOKUP(B1082,Calc!$K$88:$L$98,2,FALSE)</f>
        <v>#N/A</v>
      </c>
      <c r="F1082" s="523" t="e">
        <f ca="1">IF(Errorhandling!$C$42,INDEX(Calc!$J$99:$J$109,MATCH(Display!B1082,Calc!$K$99:$K$109,0),1),#N/A)</f>
        <v>#N/A</v>
      </c>
    </row>
    <row r="1083" spans="2:6" x14ac:dyDescent="0.2">
      <c r="B1083" s="6">
        <f t="shared" si="20"/>
        <v>1080</v>
      </c>
      <c r="C1083" s="81" t="e">
        <f ca="1">VLOOKUP(B1083,Calc!$K$66:$L$76,2,FALSE)</f>
        <v>#N/A</v>
      </c>
      <c r="D1083" s="81" t="e">
        <f ca="1">VLOOKUP(B1083,Calc!$K$77:$L$87,2,FALSE)</f>
        <v>#N/A</v>
      </c>
      <c r="E1083" s="523" t="e">
        <f ca="1">VLOOKUP(B1083,Calc!$K$88:$L$98,2,FALSE)</f>
        <v>#N/A</v>
      </c>
      <c r="F1083" s="523" t="e">
        <f ca="1">IF(Errorhandling!$C$42,INDEX(Calc!$J$99:$J$109,MATCH(Display!B1083,Calc!$K$99:$K$109,0),1),#N/A)</f>
        <v>#N/A</v>
      </c>
    </row>
    <row r="1084" spans="2:6" x14ac:dyDescent="0.2">
      <c r="B1084" s="6">
        <f t="shared" si="20"/>
        <v>1081</v>
      </c>
      <c r="C1084" s="81" t="e">
        <f ca="1">VLOOKUP(B1084,Calc!$K$66:$L$76,2,FALSE)</f>
        <v>#N/A</v>
      </c>
      <c r="D1084" s="81" t="e">
        <f ca="1">VLOOKUP(B1084,Calc!$K$77:$L$87,2,FALSE)</f>
        <v>#N/A</v>
      </c>
      <c r="E1084" s="523" t="e">
        <f ca="1">VLOOKUP(B1084,Calc!$K$88:$L$98,2,FALSE)</f>
        <v>#N/A</v>
      </c>
      <c r="F1084" s="523" t="e">
        <f ca="1">IF(Errorhandling!$C$42,INDEX(Calc!$J$99:$J$109,MATCH(Display!B1084,Calc!$K$99:$K$109,0),1),#N/A)</f>
        <v>#N/A</v>
      </c>
    </row>
    <row r="1085" spans="2:6" x14ac:dyDescent="0.2">
      <c r="B1085" s="6">
        <f t="shared" si="20"/>
        <v>1082</v>
      </c>
      <c r="C1085" s="81" t="e">
        <f ca="1">VLOOKUP(B1085,Calc!$K$66:$L$76,2,FALSE)</f>
        <v>#N/A</v>
      </c>
      <c r="D1085" s="81" t="e">
        <f ca="1">VLOOKUP(B1085,Calc!$K$77:$L$87,2,FALSE)</f>
        <v>#N/A</v>
      </c>
      <c r="E1085" s="523" t="e">
        <f ca="1">VLOOKUP(B1085,Calc!$K$88:$L$98,2,FALSE)</f>
        <v>#N/A</v>
      </c>
      <c r="F1085" s="523" t="e">
        <f ca="1">IF(Errorhandling!$C$42,INDEX(Calc!$J$99:$J$109,MATCH(Display!B1085,Calc!$K$99:$K$109,0),1),#N/A)</f>
        <v>#N/A</v>
      </c>
    </row>
    <row r="1086" spans="2:6" x14ac:dyDescent="0.2">
      <c r="B1086" s="6">
        <f t="shared" si="20"/>
        <v>1083</v>
      </c>
      <c r="C1086" s="81" t="e">
        <f ca="1">VLOOKUP(B1086,Calc!$K$66:$L$76,2,FALSE)</f>
        <v>#N/A</v>
      </c>
      <c r="D1086" s="81" t="e">
        <f ca="1">VLOOKUP(B1086,Calc!$K$77:$L$87,2,FALSE)</f>
        <v>#N/A</v>
      </c>
      <c r="E1086" s="523" t="e">
        <f ca="1">VLOOKUP(B1086,Calc!$K$88:$L$98,2,FALSE)</f>
        <v>#N/A</v>
      </c>
      <c r="F1086" s="523" t="e">
        <f ca="1">IF(Errorhandling!$C$42,INDEX(Calc!$J$99:$J$109,MATCH(Display!B1086,Calc!$K$99:$K$109,0),1),#N/A)</f>
        <v>#N/A</v>
      </c>
    </row>
    <row r="1087" spans="2:6" x14ac:dyDescent="0.2">
      <c r="B1087" s="6">
        <f t="shared" si="20"/>
        <v>1084</v>
      </c>
      <c r="C1087" s="81" t="e">
        <f ca="1">VLOOKUP(B1087,Calc!$K$66:$L$76,2,FALSE)</f>
        <v>#N/A</v>
      </c>
      <c r="D1087" s="81" t="e">
        <f ca="1">VLOOKUP(B1087,Calc!$K$77:$L$87,2,FALSE)</f>
        <v>#N/A</v>
      </c>
      <c r="E1087" s="523" t="e">
        <f ca="1">VLOOKUP(B1087,Calc!$K$88:$L$98,2,FALSE)</f>
        <v>#N/A</v>
      </c>
      <c r="F1087" s="523" t="e">
        <f ca="1">IF(Errorhandling!$C$42,INDEX(Calc!$J$99:$J$109,MATCH(Display!B1087,Calc!$K$99:$K$109,0),1),#N/A)</f>
        <v>#N/A</v>
      </c>
    </row>
    <row r="1088" spans="2:6" x14ac:dyDescent="0.2">
      <c r="B1088" s="6">
        <f t="shared" si="20"/>
        <v>1085</v>
      </c>
      <c r="C1088" s="81" t="e">
        <f ca="1">VLOOKUP(B1088,Calc!$K$66:$L$76,2,FALSE)</f>
        <v>#N/A</v>
      </c>
      <c r="D1088" s="81" t="e">
        <f ca="1">VLOOKUP(B1088,Calc!$K$77:$L$87,2,FALSE)</f>
        <v>#N/A</v>
      </c>
      <c r="E1088" s="523" t="e">
        <f ca="1">VLOOKUP(B1088,Calc!$K$88:$L$98,2,FALSE)</f>
        <v>#N/A</v>
      </c>
      <c r="F1088" s="523" t="e">
        <f ca="1">IF(Errorhandling!$C$42,INDEX(Calc!$J$99:$J$109,MATCH(Display!B1088,Calc!$K$99:$K$109,0),1),#N/A)</f>
        <v>#N/A</v>
      </c>
    </row>
    <row r="1089" spans="2:6" x14ac:dyDescent="0.2">
      <c r="B1089" s="6">
        <f t="shared" si="20"/>
        <v>1086</v>
      </c>
      <c r="C1089" s="81" t="e">
        <f ca="1">VLOOKUP(B1089,Calc!$K$66:$L$76,2,FALSE)</f>
        <v>#N/A</v>
      </c>
      <c r="D1089" s="81" t="e">
        <f ca="1">VLOOKUP(B1089,Calc!$K$77:$L$87,2,FALSE)</f>
        <v>#N/A</v>
      </c>
      <c r="E1089" s="523" t="e">
        <f ca="1">VLOOKUP(B1089,Calc!$K$88:$L$98,2,FALSE)</f>
        <v>#N/A</v>
      </c>
      <c r="F1089" s="523" t="e">
        <f ca="1">IF(Errorhandling!$C$42,INDEX(Calc!$J$99:$J$109,MATCH(Display!B1089,Calc!$K$99:$K$109,0),1),#N/A)</f>
        <v>#N/A</v>
      </c>
    </row>
    <row r="1090" spans="2:6" x14ac:dyDescent="0.2">
      <c r="B1090" s="6">
        <f t="shared" si="20"/>
        <v>1087</v>
      </c>
      <c r="C1090" s="81" t="e">
        <f ca="1">VLOOKUP(B1090,Calc!$K$66:$L$76,2,FALSE)</f>
        <v>#N/A</v>
      </c>
      <c r="D1090" s="81" t="e">
        <f ca="1">VLOOKUP(B1090,Calc!$K$77:$L$87,2,FALSE)</f>
        <v>#N/A</v>
      </c>
      <c r="E1090" s="523" t="e">
        <f ca="1">VLOOKUP(B1090,Calc!$K$88:$L$98,2,FALSE)</f>
        <v>#N/A</v>
      </c>
      <c r="F1090" s="523" t="e">
        <f ca="1">IF(Errorhandling!$C$42,INDEX(Calc!$J$99:$J$109,MATCH(Display!B1090,Calc!$K$99:$K$109,0),1),#N/A)</f>
        <v>#N/A</v>
      </c>
    </row>
    <row r="1091" spans="2:6" x14ac:dyDescent="0.2">
      <c r="B1091" s="6">
        <f t="shared" si="20"/>
        <v>1088</v>
      </c>
      <c r="C1091" s="81" t="e">
        <f ca="1">VLOOKUP(B1091,Calc!$K$66:$L$76,2,FALSE)</f>
        <v>#N/A</v>
      </c>
      <c r="D1091" s="81" t="e">
        <f ca="1">VLOOKUP(B1091,Calc!$K$77:$L$87,2,FALSE)</f>
        <v>#N/A</v>
      </c>
      <c r="E1091" s="523" t="e">
        <f ca="1">VLOOKUP(B1091,Calc!$K$88:$L$98,2,FALSE)</f>
        <v>#N/A</v>
      </c>
      <c r="F1091" s="523" t="e">
        <f ca="1">IF(Errorhandling!$C$42,INDEX(Calc!$J$99:$J$109,MATCH(Display!B1091,Calc!$K$99:$K$109,0),1),#N/A)</f>
        <v>#N/A</v>
      </c>
    </row>
    <row r="1092" spans="2:6" x14ac:dyDescent="0.2">
      <c r="B1092" s="6">
        <f t="shared" si="20"/>
        <v>1089</v>
      </c>
      <c r="C1092" s="81" t="e">
        <f ca="1">VLOOKUP(B1092,Calc!$K$66:$L$76,2,FALSE)</f>
        <v>#N/A</v>
      </c>
      <c r="D1092" s="81" t="e">
        <f ca="1">VLOOKUP(B1092,Calc!$K$77:$L$87,2,FALSE)</f>
        <v>#N/A</v>
      </c>
      <c r="E1092" s="523" t="e">
        <f ca="1">VLOOKUP(B1092,Calc!$K$88:$L$98,2,FALSE)</f>
        <v>#N/A</v>
      </c>
      <c r="F1092" s="523" t="e">
        <f ca="1">IF(Errorhandling!$C$42,INDEX(Calc!$J$99:$J$109,MATCH(Display!B1092,Calc!$K$99:$K$109,0),1),#N/A)</f>
        <v>#N/A</v>
      </c>
    </row>
    <row r="1093" spans="2:6" x14ac:dyDescent="0.2">
      <c r="B1093" s="6">
        <f t="shared" si="20"/>
        <v>1090</v>
      </c>
      <c r="C1093" s="81" t="e">
        <f ca="1">VLOOKUP(B1093,Calc!$K$66:$L$76,2,FALSE)</f>
        <v>#N/A</v>
      </c>
      <c r="D1093" s="81" t="e">
        <f ca="1">VLOOKUP(B1093,Calc!$K$77:$L$87,2,FALSE)</f>
        <v>#N/A</v>
      </c>
      <c r="E1093" s="523" t="e">
        <f ca="1">VLOOKUP(B1093,Calc!$K$88:$L$98,2,FALSE)</f>
        <v>#N/A</v>
      </c>
      <c r="F1093" s="523" t="e">
        <f ca="1">IF(Errorhandling!$C$42,INDEX(Calc!$J$99:$J$109,MATCH(Display!B1093,Calc!$K$99:$K$109,0),1),#N/A)</f>
        <v>#N/A</v>
      </c>
    </row>
    <row r="1094" spans="2:6" x14ac:dyDescent="0.2">
      <c r="B1094" s="6">
        <f t="shared" si="20"/>
        <v>1091</v>
      </c>
      <c r="C1094" s="81" t="e">
        <f ca="1">VLOOKUP(B1094,Calc!$K$66:$L$76,2,FALSE)</f>
        <v>#N/A</v>
      </c>
      <c r="D1094" s="81" t="e">
        <f ca="1">VLOOKUP(B1094,Calc!$K$77:$L$87,2,FALSE)</f>
        <v>#N/A</v>
      </c>
      <c r="E1094" s="523" t="e">
        <f ca="1">VLOOKUP(B1094,Calc!$K$88:$L$98,2,FALSE)</f>
        <v>#N/A</v>
      </c>
      <c r="F1094" s="523" t="e">
        <f ca="1">IF(Errorhandling!$C$42,INDEX(Calc!$J$99:$J$109,MATCH(Display!B1094,Calc!$K$99:$K$109,0),1),#N/A)</f>
        <v>#N/A</v>
      </c>
    </row>
    <row r="1095" spans="2:6" x14ac:dyDescent="0.2">
      <c r="B1095" s="6">
        <f t="shared" ref="B1095:B1158" si="21">1+B1094</f>
        <v>1092</v>
      </c>
      <c r="C1095" s="81" t="e">
        <f ca="1">VLOOKUP(B1095,Calc!$K$66:$L$76,2,FALSE)</f>
        <v>#N/A</v>
      </c>
      <c r="D1095" s="81" t="e">
        <f ca="1">VLOOKUP(B1095,Calc!$K$77:$L$87,2,FALSE)</f>
        <v>#N/A</v>
      </c>
      <c r="E1095" s="523" t="e">
        <f ca="1">VLOOKUP(B1095,Calc!$K$88:$L$98,2,FALSE)</f>
        <v>#N/A</v>
      </c>
      <c r="F1095" s="523" t="e">
        <f ca="1">IF(Errorhandling!$C$42,INDEX(Calc!$J$99:$J$109,MATCH(Display!B1095,Calc!$K$99:$K$109,0),1),#N/A)</f>
        <v>#N/A</v>
      </c>
    </row>
    <row r="1096" spans="2:6" x14ac:dyDescent="0.2">
      <c r="B1096" s="6">
        <f t="shared" si="21"/>
        <v>1093</v>
      </c>
      <c r="C1096" s="81" t="e">
        <f ca="1">VLOOKUP(B1096,Calc!$K$66:$L$76,2,FALSE)</f>
        <v>#N/A</v>
      </c>
      <c r="D1096" s="81" t="e">
        <f ca="1">VLOOKUP(B1096,Calc!$K$77:$L$87,2,FALSE)</f>
        <v>#N/A</v>
      </c>
      <c r="E1096" s="523" t="e">
        <f ca="1">VLOOKUP(B1096,Calc!$K$88:$L$98,2,FALSE)</f>
        <v>#N/A</v>
      </c>
      <c r="F1096" s="523" t="e">
        <f ca="1">IF(Errorhandling!$C$42,INDEX(Calc!$J$99:$J$109,MATCH(Display!B1096,Calc!$K$99:$K$109,0),1),#N/A)</f>
        <v>#N/A</v>
      </c>
    </row>
    <row r="1097" spans="2:6" x14ac:dyDescent="0.2">
      <c r="B1097" s="6">
        <f t="shared" si="21"/>
        <v>1094</v>
      </c>
      <c r="C1097" s="81" t="e">
        <f ca="1">VLOOKUP(B1097,Calc!$K$66:$L$76,2,FALSE)</f>
        <v>#N/A</v>
      </c>
      <c r="D1097" s="81" t="e">
        <f ca="1">VLOOKUP(B1097,Calc!$K$77:$L$87,2,FALSE)</f>
        <v>#N/A</v>
      </c>
      <c r="E1097" s="523" t="e">
        <f ca="1">VLOOKUP(B1097,Calc!$K$88:$L$98,2,FALSE)</f>
        <v>#N/A</v>
      </c>
      <c r="F1097" s="523" t="e">
        <f ca="1">IF(Errorhandling!$C$42,INDEX(Calc!$J$99:$J$109,MATCH(Display!B1097,Calc!$K$99:$K$109,0),1),#N/A)</f>
        <v>#N/A</v>
      </c>
    </row>
    <row r="1098" spans="2:6" x14ac:dyDescent="0.2">
      <c r="B1098" s="6">
        <f t="shared" si="21"/>
        <v>1095</v>
      </c>
      <c r="C1098" s="81" t="e">
        <f ca="1">VLOOKUP(B1098,Calc!$K$66:$L$76,2,FALSE)</f>
        <v>#N/A</v>
      </c>
      <c r="D1098" s="81" t="e">
        <f ca="1">VLOOKUP(B1098,Calc!$K$77:$L$87,2,FALSE)</f>
        <v>#N/A</v>
      </c>
      <c r="E1098" s="523" t="e">
        <f ca="1">VLOOKUP(B1098,Calc!$K$88:$L$98,2,FALSE)</f>
        <v>#N/A</v>
      </c>
      <c r="F1098" s="523" t="e">
        <f ca="1">IF(Errorhandling!$C$42,INDEX(Calc!$J$99:$J$109,MATCH(Display!B1098,Calc!$K$99:$K$109,0),1),#N/A)</f>
        <v>#N/A</v>
      </c>
    </row>
    <row r="1099" spans="2:6" x14ac:dyDescent="0.2">
      <c r="B1099" s="6">
        <f t="shared" si="21"/>
        <v>1096</v>
      </c>
      <c r="C1099" s="81" t="e">
        <f ca="1">VLOOKUP(B1099,Calc!$K$66:$L$76,2,FALSE)</f>
        <v>#N/A</v>
      </c>
      <c r="D1099" s="81" t="e">
        <f ca="1">VLOOKUP(B1099,Calc!$K$77:$L$87,2,FALSE)</f>
        <v>#N/A</v>
      </c>
      <c r="E1099" s="523" t="e">
        <f ca="1">VLOOKUP(B1099,Calc!$K$88:$L$98,2,FALSE)</f>
        <v>#N/A</v>
      </c>
      <c r="F1099" s="523" t="e">
        <f ca="1">IF(Errorhandling!$C$42,INDEX(Calc!$J$99:$J$109,MATCH(Display!B1099,Calc!$K$99:$K$109,0),1),#N/A)</f>
        <v>#N/A</v>
      </c>
    </row>
    <row r="1100" spans="2:6" x14ac:dyDescent="0.2">
      <c r="B1100" s="6">
        <f t="shared" si="21"/>
        <v>1097</v>
      </c>
      <c r="C1100" s="81" t="e">
        <f ca="1">VLOOKUP(B1100,Calc!$K$66:$L$76,2,FALSE)</f>
        <v>#N/A</v>
      </c>
      <c r="D1100" s="81" t="e">
        <f ca="1">VLOOKUP(B1100,Calc!$K$77:$L$87,2,FALSE)</f>
        <v>#N/A</v>
      </c>
      <c r="E1100" s="523" t="e">
        <f ca="1">VLOOKUP(B1100,Calc!$K$88:$L$98,2,FALSE)</f>
        <v>#N/A</v>
      </c>
      <c r="F1100" s="523" t="e">
        <f ca="1">IF(Errorhandling!$C$42,INDEX(Calc!$J$99:$J$109,MATCH(Display!B1100,Calc!$K$99:$K$109,0),1),#N/A)</f>
        <v>#N/A</v>
      </c>
    </row>
    <row r="1101" spans="2:6" x14ac:dyDescent="0.2">
      <c r="B1101" s="6">
        <f t="shared" si="21"/>
        <v>1098</v>
      </c>
      <c r="C1101" s="81" t="e">
        <f ca="1">VLOOKUP(B1101,Calc!$K$66:$L$76,2,FALSE)</f>
        <v>#N/A</v>
      </c>
      <c r="D1101" s="81" t="e">
        <f ca="1">VLOOKUP(B1101,Calc!$K$77:$L$87,2,FALSE)</f>
        <v>#N/A</v>
      </c>
      <c r="E1101" s="523" t="e">
        <f ca="1">VLOOKUP(B1101,Calc!$K$88:$L$98,2,FALSE)</f>
        <v>#N/A</v>
      </c>
      <c r="F1101" s="523" t="e">
        <f ca="1">IF(Errorhandling!$C$42,INDEX(Calc!$J$99:$J$109,MATCH(Display!B1101,Calc!$K$99:$K$109,0),1),#N/A)</f>
        <v>#N/A</v>
      </c>
    </row>
    <row r="1102" spans="2:6" x14ac:dyDescent="0.2">
      <c r="B1102" s="6">
        <f t="shared" si="21"/>
        <v>1099</v>
      </c>
      <c r="C1102" s="81" t="e">
        <f ca="1">VLOOKUP(B1102,Calc!$K$66:$L$76,2,FALSE)</f>
        <v>#N/A</v>
      </c>
      <c r="D1102" s="81" t="e">
        <f ca="1">VLOOKUP(B1102,Calc!$K$77:$L$87,2,FALSE)</f>
        <v>#N/A</v>
      </c>
      <c r="E1102" s="523" t="e">
        <f ca="1">VLOOKUP(B1102,Calc!$K$88:$L$98,2,FALSE)</f>
        <v>#N/A</v>
      </c>
      <c r="F1102" s="523" t="e">
        <f ca="1">IF(Errorhandling!$C$42,INDEX(Calc!$J$99:$J$109,MATCH(Display!B1102,Calc!$K$99:$K$109,0),1),#N/A)</f>
        <v>#N/A</v>
      </c>
    </row>
    <row r="1103" spans="2:6" x14ac:dyDescent="0.2">
      <c r="B1103" s="6">
        <f t="shared" si="21"/>
        <v>1100</v>
      </c>
      <c r="C1103" s="81" t="e">
        <f ca="1">VLOOKUP(B1103,Calc!$K$66:$L$76,2,FALSE)</f>
        <v>#N/A</v>
      </c>
      <c r="D1103" s="81" t="e">
        <f ca="1">VLOOKUP(B1103,Calc!$K$77:$L$87,2,FALSE)</f>
        <v>#N/A</v>
      </c>
      <c r="E1103" s="523" t="e">
        <f ca="1">VLOOKUP(B1103,Calc!$K$88:$L$98,2,FALSE)</f>
        <v>#N/A</v>
      </c>
      <c r="F1103" s="523" t="e">
        <f ca="1">IF(Errorhandling!$C$42,INDEX(Calc!$J$99:$J$109,MATCH(Display!B1103,Calc!$K$99:$K$109,0),1),#N/A)</f>
        <v>#N/A</v>
      </c>
    </row>
    <row r="1104" spans="2:6" x14ac:dyDescent="0.2">
      <c r="B1104" s="6">
        <f t="shared" si="21"/>
        <v>1101</v>
      </c>
      <c r="C1104" s="81" t="e">
        <f ca="1">VLOOKUP(B1104,Calc!$K$66:$L$76,2,FALSE)</f>
        <v>#N/A</v>
      </c>
      <c r="D1104" s="81" t="e">
        <f ca="1">VLOOKUP(B1104,Calc!$K$77:$L$87,2,FALSE)</f>
        <v>#N/A</v>
      </c>
      <c r="E1104" s="523" t="e">
        <f ca="1">VLOOKUP(B1104,Calc!$K$88:$L$98,2,FALSE)</f>
        <v>#N/A</v>
      </c>
      <c r="F1104" s="523" t="e">
        <f ca="1">IF(Errorhandling!$C$42,INDEX(Calc!$J$99:$J$109,MATCH(Display!B1104,Calc!$K$99:$K$109,0),1),#N/A)</f>
        <v>#N/A</v>
      </c>
    </row>
    <row r="1105" spans="2:6" x14ac:dyDescent="0.2">
      <c r="B1105" s="6">
        <f t="shared" si="21"/>
        <v>1102</v>
      </c>
      <c r="C1105" s="81" t="e">
        <f ca="1">VLOOKUP(B1105,Calc!$K$66:$L$76,2,FALSE)</f>
        <v>#N/A</v>
      </c>
      <c r="D1105" s="81" t="e">
        <f ca="1">VLOOKUP(B1105,Calc!$K$77:$L$87,2,FALSE)</f>
        <v>#N/A</v>
      </c>
      <c r="E1105" s="523" t="e">
        <f ca="1">VLOOKUP(B1105,Calc!$K$88:$L$98,2,FALSE)</f>
        <v>#N/A</v>
      </c>
      <c r="F1105" s="523" t="e">
        <f ca="1">IF(Errorhandling!$C$42,INDEX(Calc!$J$99:$J$109,MATCH(Display!B1105,Calc!$K$99:$K$109,0),1),#N/A)</f>
        <v>#N/A</v>
      </c>
    </row>
    <row r="1106" spans="2:6" x14ac:dyDescent="0.2">
      <c r="B1106" s="6">
        <f t="shared" si="21"/>
        <v>1103</v>
      </c>
      <c r="C1106" s="81" t="e">
        <f ca="1">VLOOKUP(B1106,Calc!$K$66:$L$76,2,FALSE)</f>
        <v>#N/A</v>
      </c>
      <c r="D1106" s="81" t="e">
        <f ca="1">VLOOKUP(B1106,Calc!$K$77:$L$87,2,FALSE)</f>
        <v>#N/A</v>
      </c>
      <c r="E1106" s="523" t="e">
        <f ca="1">VLOOKUP(B1106,Calc!$K$88:$L$98,2,FALSE)</f>
        <v>#N/A</v>
      </c>
      <c r="F1106" s="523" t="e">
        <f ca="1">IF(Errorhandling!$C$42,INDEX(Calc!$J$99:$J$109,MATCH(Display!B1106,Calc!$K$99:$K$109,0),1),#N/A)</f>
        <v>#N/A</v>
      </c>
    </row>
    <row r="1107" spans="2:6" x14ac:dyDescent="0.2">
      <c r="B1107" s="6">
        <f t="shared" si="21"/>
        <v>1104</v>
      </c>
      <c r="C1107" s="81" t="e">
        <f ca="1">VLOOKUP(B1107,Calc!$K$66:$L$76,2,FALSE)</f>
        <v>#N/A</v>
      </c>
      <c r="D1107" s="81" t="e">
        <f ca="1">VLOOKUP(B1107,Calc!$K$77:$L$87,2,FALSE)</f>
        <v>#N/A</v>
      </c>
      <c r="E1107" s="523" t="e">
        <f ca="1">VLOOKUP(B1107,Calc!$K$88:$L$98,2,FALSE)</f>
        <v>#N/A</v>
      </c>
      <c r="F1107" s="523" t="e">
        <f ca="1">IF(Errorhandling!$C$42,INDEX(Calc!$J$99:$J$109,MATCH(Display!B1107,Calc!$K$99:$K$109,0),1),#N/A)</f>
        <v>#N/A</v>
      </c>
    </row>
    <row r="1108" spans="2:6" x14ac:dyDescent="0.2">
      <c r="B1108" s="6">
        <f t="shared" si="21"/>
        <v>1105</v>
      </c>
      <c r="C1108" s="81" t="e">
        <f ca="1">VLOOKUP(B1108,Calc!$K$66:$L$76,2,FALSE)</f>
        <v>#N/A</v>
      </c>
      <c r="D1108" s="81" t="e">
        <f ca="1">VLOOKUP(B1108,Calc!$K$77:$L$87,2,FALSE)</f>
        <v>#N/A</v>
      </c>
      <c r="E1108" s="523" t="e">
        <f ca="1">VLOOKUP(B1108,Calc!$K$88:$L$98,2,FALSE)</f>
        <v>#N/A</v>
      </c>
      <c r="F1108" s="523" t="e">
        <f ca="1">IF(Errorhandling!$C$42,INDEX(Calc!$J$99:$J$109,MATCH(Display!B1108,Calc!$K$99:$K$109,0),1),#N/A)</f>
        <v>#N/A</v>
      </c>
    </row>
    <row r="1109" spans="2:6" x14ac:dyDescent="0.2">
      <c r="B1109" s="6">
        <f t="shared" si="21"/>
        <v>1106</v>
      </c>
      <c r="C1109" s="81" t="e">
        <f ca="1">VLOOKUP(B1109,Calc!$K$66:$L$76,2,FALSE)</f>
        <v>#N/A</v>
      </c>
      <c r="D1109" s="81" t="e">
        <f ca="1">VLOOKUP(B1109,Calc!$K$77:$L$87,2,FALSE)</f>
        <v>#N/A</v>
      </c>
      <c r="E1109" s="523" t="e">
        <f ca="1">VLOOKUP(B1109,Calc!$K$88:$L$98,2,FALSE)</f>
        <v>#N/A</v>
      </c>
      <c r="F1109" s="523" t="e">
        <f ca="1">IF(Errorhandling!$C$42,INDEX(Calc!$J$99:$J$109,MATCH(Display!B1109,Calc!$K$99:$K$109,0),1),#N/A)</f>
        <v>#N/A</v>
      </c>
    </row>
    <row r="1110" spans="2:6" x14ac:dyDescent="0.2">
      <c r="B1110" s="6">
        <f t="shared" si="21"/>
        <v>1107</v>
      </c>
      <c r="C1110" s="81" t="e">
        <f ca="1">VLOOKUP(B1110,Calc!$K$66:$L$76,2,FALSE)</f>
        <v>#N/A</v>
      </c>
      <c r="D1110" s="81" t="e">
        <f ca="1">VLOOKUP(B1110,Calc!$K$77:$L$87,2,FALSE)</f>
        <v>#N/A</v>
      </c>
      <c r="E1110" s="523" t="e">
        <f ca="1">VLOOKUP(B1110,Calc!$K$88:$L$98,2,FALSE)</f>
        <v>#N/A</v>
      </c>
      <c r="F1110" s="523" t="e">
        <f ca="1">IF(Errorhandling!$C$42,INDEX(Calc!$J$99:$J$109,MATCH(Display!B1110,Calc!$K$99:$K$109,0),1),#N/A)</f>
        <v>#N/A</v>
      </c>
    </row>
    <row r="1111" spans="2:6" x14ac:dyDescent="0.2">
      <c r="B1111" s="6">
        <f t="shared" si="21"/>
        <v>1108</v>
      </c>
      <c r="C1111" s="81" t="e">
        <f ca="1">VLOOKUP(B1111,Calc!$K$66:$L$76,2,FALSE)</f>
        <v>#N/A</v>
      </c>
      <c r="D1111" s="81" t="e">
        <f ca="1">VLOOKUP(B1111,Calc!$K$77:$L$87,2,FALSE)</f>
        <v>#N/A</v>
      </c>
      <c r="E1111" s="523" t="e">
        <f ca="1">VLOOKUP(B1111,Calc!$K$88:$L$98,2,FALSE)</f>
        <v>#N/A</v>
      </c>
      <c r="F1111" s="523" t="e">
        <f ca="1">IF(Errorhandling!$C$42,INDEX(Calc!$J$99:$J$109,MATCH(Display!B1111,Calc!$K$99:$K$109,0),1),#N/A)</f>
        <v>#N/A</v>
      </c>
    </row>
    <row r="1112" spans="2:6" x14ac:dyDescent="0.2">
      <c r="B1112" s="6">
        <f t="shared" si="21"/>
        <v>1109</v>
      </c>
      <c r="C1112" s="81" t="e">
        <f ca="1">VLOOKUP(B1112,Calc!$K$66:$L$76,2,FALSE)</f>
        <v>#N/A</v>
      </c>
      <c r="D1112" s="81" t="e">
        <f ca="1">VLOOKUP(B1112,Calc!$K$77:$L$87,2,FALSE)</f>
        <v>#N/A</v>
      </c>
      <c r="E1112" s="523" t="e">
        <f ca="1">VLOOKUP(B1112,Calc!$K$88:$L$98,2,FALSE)</f>
        <v>#N/A</v>
      </c>
      <c r="F1112" s="523" t="e">
        <f ca="1">IF(Errorhandling!$C$42,INDEX(Calc!$J$99:$J$109,MATCH(Display!B1112,Calc!$K$99:$K$109,0),1),#N/A)</f>
        <v>#N/A</v>
      </c>
    </row>
    <row r="1113" spans="2:6" x14ac:dyDescent="0.2">
      <c r="B1113" s="6">
        <f t="shared" si="21"/>
        <v>1110</v>
      </c>
      <c r="C1113" s="81" t="e">
        <f ca="1">VLOOKUP(B1113,Calc!$K$66:$L$76,2,FALSE)</f>
        <v>#N/A</v>
      </c>
      <c r="D1113" s="81" t="e">
        <f ca="1">VLOOKUP(B1113,Calc!$K$77:$L$87,2,FALSE)</f>
        <v>#N/A</v>
      </c>
      <c r="E1113" s="523" t="e">
        <f ca="1">VLOOKUP(B1113,Calc!$K$88:$L$98,2,FALSE)</f>
        <v>#N/A</v>
      </c>
      <c r="F1113" s="523" t="e">
        <f ca="1">IF(Errorhandling!$C$42,INDEX(Calc!$J$99:$J$109,MATCH(Display!B1113,Calc!$K$99:$K$109,0),1),#N/A)</f>
        <v>#N/A</v>
      </c>
    </row>
    <row r="1114" spans="2:6" x14ac:dyDescent="0.2">
      <c r="B1114" s="6">
        <f t="shared" si="21"/>
        <v>1111</v>
      </c>
      <c r="C1114" s="81" t="e">
        <f ca="1">VLOOKUP(B1114,Calc!$K$66:$L$76,2,FALSE)</f>
        <v>#N/A</v>
      </c>
      <c r="D1114" s="81" t="e">
        <f ca="1">VLOOKUP(B1114,Calc!$K$77:$L$87,2,FALSE)</f>
        <v>#N/A</v>
      </c>
      <c r="E1114" s="523" t="e">
        <f ca="1">VLOOKUP(B1114,Calc!$K$88:$L$98,2,FALSE)</f>
        <v>#N/A</v>
      </c>
      <c r="F1114" s="523" t="e">
        <f ca="1">IF(Errorhandling!$C$42,INDEX(Calc!$J$99:$J$109,MATCH(Display!B1114,Calc!$K$99:$K$109,0),1),#N/A)</f>
        <v>#N/A</v>
      </c>
    </row>
    <row r="1115" spans="2:6" x14ac:dyDescent="0.2">
      <c r="B1115" s="6">
        <f t="shared" si="21"/>
        <v>1112</v>
      </c>
      <c r="C1115" s="81" t="e">
        <f ca="1">VLOOKUP(B1115,Calc!$K$66:$L$76,2,FALSE)</f>
        <v>#N/A</v>
      </c>
      <c r="D1115" s="81" t="e">
        <f ca="1">VLOOKUP(B1115,Calc!$K$77:$L$87,2,FALSE)</f>
        <v>#N/A</v>
      </c>
      <c r="E1115" s="523" t="e">
        <f ca="1">VLOOKUP(B1115,Calc!$K$88:$L$98,2,FALSE)</f>
        <v>#N/A</v>
      </c>
      <c r="F1115" s="523" t="e">
        <f ca="1">IF(Errorhandling!$C$42,INDEX(Calc!$J$99:$J$109,MATCH(Display!B1115,Calc!$K$99:$K$109,0),1),#N/A)</f>
        <v>#N/A</v>
      </c>
    </row>
    <row r="1116" spans="2:6" x14ac:dyDescent="0.2">
      <c r="B1116" s="6">
        <f t="shared" si="21"/>
        <v>1113</v>
      </c>
      <c r="C1116" s="81" t="e">
        <f ca="1">VLOOKUP(B1116,Calc!$K$66:$L$76,2,FALSE)</f>
        <v>#N/A</v>
      </c>
      <c r="D1116" s="81" t="e">
        <f ca="1">VLOOKUP(B1116,Calc!$K$77:$L$87,2,FALSE)</f>
        <v>#N/A</v>
      </c>
      <c r="E1116" s="523" t="e">
        <f ca="1">VLOOKUP(B1116,Calc!$K$88:$L$98,2,FALSE)</f>
        <v>#N/A</v>
      </c>
      <c r="F1116" s="523" t="e">
        <f ca="1">IF(Errorhandling!$C$42,INDEX(Calc!$J$99:$J$109,MATCH(Display!B1116,Calc!$K$99:$K$109,0),1),#N/A)</f>
        <v>#N/A</v>
      </c>
    </row>
    <row r="1117" spans="2:6" x14ac:dyDescent="0.2">
      <c r="B1117" s="6">
        <f t="shared" si="21"/>
        <v>1114</v>
      </c>
      <c r="C1117" s="81" t="e">
        <f ca="1">VLOOKUP(B1117,Calc!$K$66:$L$76,2,FALSE)</f>
        <v>#N/A</v>
      </c>
      <c r="D1117" s="81" t="e">
        <f ca="1">VLOOKUP(B1117,Calc!$K$77:$L$87,2,FALSE)</f>
        <v>#N/A</v>
      </c>
      <c r="E1117" s="523" t="e">
        <f ca="1">VLOOKUP(B1117,Calc!$K$88:$L$98,2,FALSE)</f>
        <v>#N/A</v>
      </c>
      <c r="F1117" s="523" t="e">
        <f ca="1">IF(Errorhandling!$C$42,INDEX(Calc!$J$99:$J$109,MATCH(Display!B1117,Calc!$K$99:$K$109,0),1),#N/A)</f>
        <v>#N/A</v>
      </c>
    </row>
    <row r="1118" spans="2:6" x14ac:dyDescent="0.2">
      <c r="B1118" s="6">
        <f t="shared" si="21"/>
        <v>1115</v>
      </c>
      <c r="C1118" s="81" t="e">
        <f ca="1">VLOOKUP(B1118,Calc!$K$66:$L$76,2,FALSE)</f>
        <v>#N/A</v>
      </c>
      <c r="D1118" s="81" t="e">
        <f ca="1">VLOOKUP(B1118,Calc!$K$77:$L$87,2,FALSE)</f>
        <v>#N/A</v>
      </c>
      <c r="E1118" s="523" t="e">
        <f ca="1">VLOOKUP(B1118,Calc!$K$88:$L$98,2,FALSE)</f>
        <v>#N/A</v>
      </c>
      <c r="F1118" s="523" t="e">
        <f ca="1">IF(Errorhandling!$C$42,INDEX(Calc!$J$99:$J$109,MATCH(Display!B1118,Calc!$K$99:$K$109,0),1),#N/A)</f>
        <v>#N/A</v>
      </c>
    </row>
    <row r="1119" spans="2:6" x14ac:dyDescent="0.2">
      <c r="B1119" s="6">
        <f t="shared" si="21"/>
        <v>1116</v>
      </c>
      <c r="C1119" s="81" t="e">
        <f ca="1">VLOOKUP(B1119,Calc!$K$66:$L$76,2,FALSE)</f>
        <v>#N/A</v>
      </c>
      <c r="D1119" s="81" t="e">
        <f ca="1">VLOOKUP(B1119,Calc!$K$77:$L$87,2,FALSE)</f>
        <v>#N/A</v>
      </c>
      <c r="E1119" s="523" t="e">
        <f ca="1">VLOOKUP(B1119,Calc!$K$88:$L$98,2,FALSE)</f>
        <v>#N/A</v>
      </c>
      <c r="F1119" s="523" t="e">
        <f ca="1">IF(Errorhandling!$C$42,INDEX(Calc!$J$99:$J$109,MATCH(Display!B1119,Calc!$K$99:$K$109,0),1),#N/A)</f>
        <v>#N/A</v>
      </c>
    </row>
    <row r="1120" spans="2:6" x14ac:dyDescent="0.2">
      <c r="B1120" s="6">
        <f t="shared" si="21"/>
        <v>1117</v>
      </c>
      <c r="C1120" s="81" t="e">
        <f ca="1">VLOOKUP(B1120,Calc!$K$66:$L$76,2,FALSE)</f>
        <v>#N/A</v>
      </c>
      <c r="D1120" s="81" t="e">
        <f ca="1">VLOOKUP(B1120,Calc!$K$77:$L$87,2,FALSE)</f>
        <v>#N/A</v>
      </c>
      <c r="E1120" s="523" t="e">
        <f ca="1">VLOOKUP(B1120,Calc!$K$88:$L$98,2,FALSE)</f>
        <v>#N/A</v>
      </c>
      <c r="F1120" s="523" t="e">
        <f ca="1">IF(Errorhandling!$C$42,INDEX(Calc!$J$99:$J$109,MATCH(Display!B1120,Calc!$K$99:$K$109,0),1),#N/A)</f>
        <v>#N/A</v>
      </c>
    </row>
    <row r="1121" spans="2:6" x14ac:dyDescent="0.2">
      <c r="B1121" s="6">
        <f t="shared" si="21"/>
        <v>1118</v>
      </c>
      <c r="C1121" s="81" t="e">
        <f ca="1">VLOOKUP(B1121,Calc!$K$66:$L$76,2,FALSE)</f>
        <v>#N/A</v>
      </c>
      <c r="D1121" s="81" t="e">
        <f ca="1">VLOOKUP(B1121,Calc!$K$77:$L$87,2,FALSE)</f>
        <v>#N/A</v>
      </c>
      <c r="E1121" s="523" t="e">
        <f ca="1">VLOOKUP(B1121,Calc!$K$88:$L$98,2,FALSE)</f>
        <v>#N/A</v>
      </c>
      <c r="F1121" s="523" t="e">
        <f ca="1">IF(Errorhandling!$C$42,INDEX(Calc!$J$99:$J$109,MATCH(Display!B1121,Calc!$K$99:$K$109,0),1),#N/A)</f>
        <v>#N/A</v>
      </c>
    </row>
    <row r="1122" spans="2:6" x14ac:dyDescent="0.2">
      <c r="B1122" s="6">
        <f t="shared" si="21"/>
        <v>1119</v>
      </c>
      <c r="C1122" s="81" t="e">
        <f ca="1">VLOOKUP(B1122,Calc!$K$66:$L$76,2,FALSE)</f>
        <v>#N/A</v>
      </c>
      <c r="D1122" s="81" t="e">
        <f ca="1">VLOOKUP(B1122,Calc!$K$77:$L$87,2,FALSE)</f>
        <v>#N/A</v>
      </c>
      <c r="E1122" s="523" t="e">
        <f ca="1">VLOOKUP(B1122,Calc!$K$88:$L$98,2,FALSE)</f>
        <v>#N/A</v>
      </c>
      <c r="F1122" s="523" t="e">
        <f ca="1">IF(Errorhandling!$C$42,INDEX(Calc!$J$99:$J$109,MATCH(Display!B1122,Calc!$K$99:$K$109,0),1),#N/A)</f>
        <v>#N/A</v>
      </c>
    </row>
    <row r="1123" spans="2:6" x14ac:dyDescent="0.2">
      <c r="B1123" s="6">
        <f t="shared" si="21"/>
        <v>1120</v>
      </c>
      <c r="C1123" s="81" t="e">
        <f ca="1">VLOOKUP(B1123,Calc!$K$66:$L$76,2,FALSE)</f>
        <v>#N/A</v>
      </c>
      <c r="D1123" s="81" t="e">
        <f ca="1">VLOOKUP(B1123,Calc!$K$77:$L$87,2,FALSE)</f>
        <v>#N/A</v>
      </c>
      <c r="E1123" s="523" t="e">
        <f ca="1">VLOOKUP(B1123,Calc!$K$88:$L$98,2,FALSE)</f>
        <v>#N/A</v>
      </c>
      <c r="F1123" s="523" t="e">
        <f ca="1">IF(Errorhandling!$C$42,INDEX(Calc!$J$99:$J$109,MATCH(Display!B1123,Calc!$K$99:$K$109,0),1),#N/A)</f>
        <v>#N/A</v>
      </c>
    </row>
    <row r="1124" spans="2:6" x14ac:dyDescent="0.2">
      <c r="B1124" s="6">
        <f t="shared" si="21"/>
        <v>1121</v>
      </c>
      <c r="C1124" s="81" t="e">
        <f ca="1">VLOOKUP(B1124,Calc!$K$66:$L$76,2,FALSE)</f>
        <v>#N/A</v>
      </c>
      <c r="D1124" s="81" t="e">
        <f ca="1">VLOOKUP(B1124,Calc!$K$77:$L$87,2,FALSE)</f>
        <v>#N/A</v>
      </c>
      <c r="E1124" s="523" t="e">
        <f ca="1">VLOOKUP(B1124,Calc!$K$88:$L$98,2,FALSE)</f>
        <v>#N/A</v>
      </c>
      <c r="F1124" s="523" t="e">
        <f ca="1">IF(Errorhandling!$C$42,INDEX(Calc!$J$99:$J$109,MATCH(Display!B1124,Calc!$K$99:$K$109,0),1),#N/A)</f>
        <v>#N/A</v>
      </c>
    </row>
    <row r="1125" spans="2:6" x14ac:dyDescent="0.2">
      <c r="B1125" s="6">
        <f t="shared" si="21"/>
        <v>1122</v>
      </c>
      <c r="C1125" s="81" t="e">
        <f ca="1">VLOOKUP(B1125,Calc!$K$66:$L$76,2,FALSE)</f>
        <v>#N/A</v>
      </c>
      <c r="D1125" s="81" t="e">
        <f ca="1">VLOOKUP(B1125,Calc!$K$77:$L$87,2,FALSE)</f>
        <v>#N/A</v>
      </c>
      <c r="E1125" s="523" t="e">
        <f ca="1">VLOOKUP(B1125,Calc!$K$88:$L$98,2,FALSE)</f>
        <v>#N/A</v>
      </c>
      <c r="F1125" s="523" t="e">
        <f ca="1">IF(Errorhandling!$C$42,INDEX(Calc!$J$99:$J$109,MATCH(Display!B1125,Calc!$K$99:$K$109,0),1),#N/A)</f>
        <v>#N/A</v>
      </c>
    </row>
    <row r="1126" spans="2:6" x14ac:dyDescent="0.2">
      <c r="B1126" s="6">
        <f t="shared" si="21"/>
        <v>1123</v>
      </c>
      <c r="C1126" s="81" t="e">
        <f ca="1">VLOOKUP(B1126,Calc!$K$66:$L$76,2,FALSE)</f>
        <v>#N/A</v>
      </c>
      <c r="D1126" s="81" t="e">
        <f ca="1">VLOOKUP(B1126,Calc!$K$77:$L$87,2,FALSE)</f>
        <v>#N/A</v>
      </c>
      <c r="E1126" s="523" t="e">
        <f ca="1">VLOOKUP(B1126,Calc!$K$88:$L$98,2,FALSE)</f>
        <v>#N/A</v>
      </c>
      <c r="F1126" s="523" t="e">
        <f ca="1">IF(Errorhandling!$C$42,INDEX(Calc!$J$99:$J$109,MATCH(Display!B1126,Calc!$K$99:$K$109,0),1),#N/A)</f>
        <v>#N/A</v>
      </c>
    </row>
    <row r="1127" spans="2:6" x14ac:dyDescent="0.2">
      <c r="B1127" s="6">
        <f t="shared" si="21"/>
        <v>1124</v>
      </c>
      <c r="C1127" s="81" t="e">
        <f ca="1">VLOOKUP(B1127,Calc!$K$66:$L$76,2,FALSE)</f>
        <v>#N/A</v>
      </c>
      <c r="D1127" s="81" t="e">
        <f ca="1">VLOOKUP(B1127,Calc!$K$77:$L$87,2,FALSE)</f>
        <v>#N/A</v>
      </c>
      <c r="E1127" s="523" t="e">
        <f ca="1">VLOOKUP(B1127,Calc!$K$88:$L$98,2,FALSE)</f>
        <v>#N/A</v>
      </c>
      <c r="F1127" s="523" t="e">
        <f ca="1">IF(Errorhandling!$C$42,INDEX(Calc!$J$99:$J$109,MATCH(Display!B1127,Calc!$K$99:$K$109,0),1),#N/A)</f>
        <v>#N/A</v>
      </c>
    </row>
    <row r="1128" spans="2:6" x14ac:dyDescent="0.2">
      <c r="B1128" s="6">
        <f t="shared" si="21"/>
        <v>1125</v>
      </c>
      <c r="C1128" s="81" t="e">
        <f ca="1">VLOOKUP(B1128,Calc!$K$66:$L$76,2,FALSE)</f>
        <v>#N/A</v>
      </c>
      <c r="D1128" s="81" t="e">
        <f ca="1">VLOOKUP(B1128,Calc!$K$77:$L$87,2,FALSE)</f>
        <v>#N/A</v>
      </c>
      <c r="E1128" s="523" t="e">
        <f ca="1">VLOOKUP(B1128,Calc!$K$88:$L$98,2,FALSE)</f>
        <v>#N/A</v>
      </c>
      <c r="F1128" s="523" t="e">
        <f ca="1">IF(Errorhandling!$C$42,INDEX(Calc!$J$99:$J$109,MATCH(Display!B1128,Calc!$K$99:$K$109,0),1),#N/A)</f>
        <v>#N/A</v>
      </c>
    </row>
    <row r="1129" spans="2:6" x14ac:dyDescent="0.2">
      <c r="B1129" s="6">
        <f t="shared" si="21"/>
        <v>1126</v>
      </c>
      <c r="C1129" s="81" t="e">
        <f ca="1">VLOOKUP(B1129,Calc!$K$66:$L$76,2,FALSE)</f>
        <v>#N/A</v>
      </c>
      <c r="D1129" s="81" t="e">
        <f ca="1">VLOOKUP(B1129,Calc!$K$77:$L$87,2,FALSE)</f>
        <v>#N/A</v>
      </c>
      <c r="E1129" s="523" t="e">
        <f ca="1">VLOOKUP(B1129,Calc!$K$88:$L$98,2,FALSE)</f>
        <v>#N/A</v>
      </c>
      <c r="F1129" s="523" t="e">
        <f ca="1">IF(Errorhandling!$C$42,INDEX(Calc!$J$99:$J$109,MATCH(Display!B1129,Calc!$K$99:$K$109,0),1),#N/A)</f>
        <v>#N/A</v>
      </c>
    </row>
    <row r="1130" spans="2:6" x14ac:dyDescent="0.2">
      <c r="B1130" s="6">
        <f t="shared" si="21"/>
        <v>1127</v>
      </c>
      <c r="C1130" s="81" t="e">
        <f ca="1">VLOOKUP(B1130,Calc!$K$66:$L$76,2,FALSE)</f>
        <v>#N/A</v>
      </c>
      <c r="D1130" s="81" t="e">
        <f ca="1">VLOOKUP(B1130,Calc!$K$77:$L$87,2,FALSE)</f>
        <v>#N/A</v>
      </c>
      <c r="E1130" s="523" t="e">
        <f ca="1">VLOOKUP(B1130,Calc!$K$88:$L$98,2,FALSE)</f>
        <v>#N/A</v>
      </c>
      <c r="F1130" s="523" t="e">
        <f ca="1">IF(Errorhandling!$C$42,INDEX(Calc!$J$99:$J$109,MATCH(Display!B1130,Calc!$K$99:$K$109,0),1),#N/A)</f>
        <v>#N/A</v>
      </c>
    </row>
    <row r="1131" spans="2:6" x14ac:dyDescent="0.2">
      <c r="B1131" s="6">
        <f t="shared" si="21"/>
        <v>1128</v>
      </c>
      <c r="C1131" s="81" t="e">
        <f ca="1">VLOOKUP(B1131,Calc!$K$66:$L$76,2,FALSE)</f>
        <v>#N/A</v>
      </c>
      <c r="D1131" s="81" t="e">
        <f ca="1">VLOOKUP(B1131,Calc!$K$77:$L$87,2,FALSE)</f>
        <v>#N/A</v>
      </c>
      <c r="E1131" s="523" t="e">
        <f ca="1">VLOOKUP(B1131,Calc!$K$88:$L$98,2,FALSE)</f>
        <v>#N/A</v>
      </c>
      <c r="F1131" s="523" t="e">
        <f ca="1">IF(Errorhandling!$C$42,INDEX(Calc!$J$99:$J$109,MATCH(Display!B1131,Calc!$K$99:$K$109,0),1),#N/A)</f>
        <v>#N/A</v>
      </c>
    </row>
    <row r="1132" spans="2:6" x14ac:dyDescent="0.2">
      <c r="B1132" s="6">
        <f t="shared" si="21"/>
        <v>1129</v>
      </c>
      <c r="C1132" s="81" t="e">
        <f ca="1">VLOOKUP(B1132,Calc!$K$66:$L$76,2,FALSE)</f>
        <v>#N/A</v>
      </c>
      <c r="D1132" s="81" t="e">
        <f ca="1">VLOOKUP(B1132,Calc!$K$77:$L$87,2,FALSE)</f>
        <v>#N/A</v>
      </c>
      <c r="E1132" s="523" t="e">
        <f ca="1">VLOOKUP(B1132,Calc!$K$88:$L$98,2,FALSE)</f>
        <v>#N/A</v>
      </c>
      <c r="F1132" s="523" t="e">
        <f ca="1">IF(Errorhandling!$C$42,INDEX(Calc!$J$99:$J$109,MATCH(Display!B1132,Calc!$K$99:$K$109,0),1),#N/A)</f>
        <v>#N/A</v>
      </c>
    </row>
    <row r="1133" spans="2:6" x14ac:dyDescent="0.2">
      <c r="B1133" s="6">
        <f t="shared" si="21"/>
        <v>1130</v>
      </c>
      <c r="C1133" s="81" t="e">
        <f ca="1">VLOOKUP(B1133,Calc!$K$66:$L$76,2,FALSE)</f>
        <v>#N/A</v>
      </c>
      <c r="D1133" s="81" t="e">
        <f ca="1">VLOOKUP(B1133,Calc!$K$77:$L$87,2,FALSE)</f>
        <v>#N/A</v>
      </c>
      <c r="E1133" s="523" t="e">
        <f ca="1">VLOOKUP(B1133,Calc!$K$88:$L$98,2,FALSE)</f>
        <v>#N/A</v>
      </c>
      <c r="F1133" s="523" t="e">
        <f ca="1">IF(Errorhandling!$C$42,INDEX(Calc!$J$99:$J$109,MATCH(Display!B1133,Calc!$K$99:$K$109,0),1),#N/A)</f>
        <v>#N/A</v>
      </c>
    </row>
    <row r="1134" spans="2:6" x14ac:dyDescent="0.2">
      <c r="B1134" s="6">
        <f t="shared" si="21"/>
        <v>1131</v>
      </c>
      <c r="C1134" s="81" t="e">
        <f ca="1">VLOOKUP(B1134,Calc!$K$66:$L$76,2,FALSE)</f>
        <v>#N/A</v>
      </c>
      <c r="D1134" s="81" t="e">
        <f ca="1">VLOOKUP(B1134,Calc!$K$77:$L$87,2,FALSE)</f>
        <v>#N/A</v>
      </c>
      <c r="E1134" s="523" t="e">
        <f ca="1">VLOOKUP(B1134,Calc!$K$88:$L$98,2,FALSE)</f>
        <v>#N/A</v>
      </c>
      <c r="F1134" s="523" t="e">
        <f ca="1">IF(Errorhandling!$C$42,INDEX(Calc!$J$99:$J$109,MATCH(Display!B1134,Calc!$K$99:$K$109,0),1),#N/A)</f>
        <v>#N/A</v>
      </c>
    </row>
    <row r="1135" spans="2:6" x14ac:dyDescent="0.2">
      <c r="B1135" s="6">
        <f t="shared" si="21"/>
        <v>1132</v>
      </c>
      <c r="C1135" s="81" t="e">
        <f ca="1">VLOOKUP(B1135,Calc!$K$66:$L$76,2,FALSE)</f>
        <v>#N/A</v>
      </c>
      <c r="D1135" s="81" t="e">
        <f ca="1">VLOOKUP(B1135,Calc!$K$77:$L$87,2,FALSE)</f>
        <v>#N/A</v>
      </c>
      <c r="E1135" s="523" t="e">
        <f ca="1">VLOOKUP(B1135,Calc!$K$88:$L$98,2,FALSE)</f>
        <v>#N/A</v>
      </c>
      <c r="F1135" s="523" t="e">
        <f ca="1">IF(Errorhandling!$C$42,INDEX(Calc!$J$99:$J$109,MATCH(Display!B1135,Calc!$K$99:$K$109,0),1),#N/A)</f>
        <v>#N/A</v>
      </c>
    </row>
    <row r="1136" spans="2:6" x14ac:dyDescent="0.2">
      <c r="B1136" s="6">
        <f t="shared" si="21"/>
        <v>1133</v>
      </c>
      <c r="C1136" s="81" t="e">
        <f ca="1">VLOOKUP(B1136,Calc!$K$66:$L$76,2,FALSE)</f>
        <v>#N/A</v>
      </c>
      <c r="D1136" s="81" t="e">
        <f ca="1">VLOOKUP(B1136,Calc!$K$77:$L$87,2,FALSE)</f>
        <v>#N/A</v>
      </c>
      <c r="E1136" s="523" t="e">
        <f ca="1">VLOOKUP(B1136,Calc!$K$88:$L$98,2,FALSE)</f>
        <v>#N/A</v>
      </c>
      <c r="F1136" s="523" t="e">
        <f ca="1">IF(Errorhandling!$C$42,INDEX(Calc!$J$99:$J$109,MATCH(Display!B1136,Calc!$K$99:$K$109,0),1),#N/A)</f>
        <v>#N/A</v>
      </c>
    </row>
    <row r="1137" spans="2:6" x14ac:dyDescent="0.2">
      <c r="B1137" s="6">
        <f t="shared" si="21"/>
        <v>1134</v>
      </c>
      <c r="C1137" s="81" t="e">
        <f ca="1">VLOOKUP(B1137,Calc!$K$66:$L$76,2,FALSE)</f>
        <v>#N/A</v>
      </c>
      <c r="D1137" s="81" t="e">
        <f ca="1">VLOOKUP(B1137,Calc!$K$77:$L$87,2,FALSE)</f>
        <v>#N/A</v>
      </c>
      <c r="E1137" s="523" t="e">
        <f ca="1">VLOOKUP(B1137,Calc!$K$88:$L$98,2,FALSE)</f>
        <v>#N/A</v>
      </c>
      <c r="F1137" s="523" t="e">
        <f ca="1">IF(Errorhandling!$C$42,INDEX(Calc!$J$99:$J$109,MATCH(Display!B1137,Calc!$K$99:$K$109,0),1),#N/A)</f>
        <v>#N/A</v>
      </c>
    </row>
    <row r="1138" spans="2:6" x14ac:dyDescent="0.2">
      <c r="B1138" s="6">
        <f t="shared" si="21"/>
        <v>1135</v>
      </c>
      <c r="C1138" s="81" t="e">
        <f ca="1">VLOOKUP(B1138,Calc!$K$66:$L$76,2,FALSE)</f>
        <v>#N/A</v>
      </c>
      <c r="D1138" s="81" t="e">
        <f ca="1">VLOOKUP(B1138,Calc!$K$77:$L$87,2,FALSE)</f>
        <v>#N/A</v>
      </c>
      <c r="E1138" s="523" t="e">
        <f ca="1">VLOOKUP(B1138,Calc!$K$88:$L$98,2,FALSE)</f>
        <v>#N/A</v>
      </c>
      <c r="F1138" s="523" t="e">
        <f ca="1">IF(Errorhandling!$C$42,INDEX(Calc!$J$99:$J$109,MATCH(Display!B1138,Calc!$K$99:$K$109,0),1),#N/A)</f>
        <v>#N/A</v>
      </c>
    </row>
    <row r="1139" spans="2:6" x14ac:dyDescent="0.2">
      <c r="B1139" s="6">
        <f t="shared" si="21"/>
        <v>1136</v>
      </c>
      <c r="C1139" s="81" t="e">
        <f ca="1">VLOOKUP(B1139,Calc!$K$66:$L$76,2,FALSE)</f>
        <v>#N/A</v>
      </c>
      <c r="D1139" s="81" t="e">
        <f ca="1">VLOOKUP(B1139,Calc!$K$77:$L$87,2,FALSE)</f>
        <v>#N/A</v>
      </c>
      <c r="E1139" s="523" t="e">
        <f ca="1">VLOOKUP(B1139,Calc!$K$88:$L$98,2,FALSE)</f>
        <v>#N/A</v>
      </c>
      <c r="F1139" s="523" t="e">
        <f ca="1">IF(Errorhandling!$C$42,INDEX(Calc!$J$99:$J$109,MATCH(Display!B1139,Calc!$K$99:$K$109,0),1),#N/A)</f>
        <v>#N/A</v>
      </c>
    </row>
    <row r="1140" spans="2:6" x14ac:dyDescent="0.2">
      <c r="B1140" s="6">
        <f t="shared" si="21"/>
        <v>1137</v>
      </c>
      <c r="C1140" s="81" t="e">
        <f ca="1">VLOOKUP(B1140,Calc!$K$66:$L$76,2,FALSE)</f>
        <v>#N/A</v>
      </c>
      <c r="D1140" s="81" t="e">
        <f ca="1">VLOOKUP(B1140,Calc!$K$77:$L$87,2,FALSE)</f>
        <v>#N/A</v>
      </c>
      <c r="E1140" s="523" t="e">
        <f ca="1">VLOOKUP(B1140,Calc!$K$88:$L$98,2,FALSE)</f>
        <v>#N/A</v>
      </c>
      <c r="F1140" s="523" t="e">
        <f ca="1">IF(Errorhandling!$C$42,INDEX(Calc!$J$99:$J$109,MATCH(Display!B1140,Calc!$K$99:$K$109,0),1),#N/A)</f>
        <v>#N/A</v>
      </c>
    </row>
    <row r="1141" spans="2:6" x14ac:dyDescent="0.2">
      <c r="B1141" s="6">
        <f t="shared" si="21"/>
        <v>1138</v>
      </c>
      <c r="C1141" s="81" t="e">
        <f ca="1">VLOOKUP(B1141,Calc!$K$66:$L$76,2,FALSE)</f>
        <v>#N/A</v>
      </c>
      <c r="D1141" s="81" t="e">
        <f ca="1">VLOOKUP(B1141,Calc!$K$77:$L$87,2,FALSE)</f>
        <v>#N/A</v>
      </c>
      <c r="E1141" s="523" t="e">
        <f ca="1">VLOOKUP(B1141,Calc!$K$88:$L$98,2,FALSE)</f>
        <v>#N/A</v>
      </c>
      <c r="F1141" s="523" t="e">
        <f ca="1">IF(Errorhandling!$C$42,INDEX(Calc!$J$99:$J$109,MATCH(Display!B1141,Calc!$K$99:$K$109,0),1),#N/A)</f>
        <v>#N/A</v>
      </c>
    </row>
    <row r="1142" spans="2:6" x14ac:dyDescent="0.2">
      <c r="B1142" s="6">
        <f t="shared" si="21"/>
        <v>1139</v>
      </c>
      <c r="C1142" s="81" t="e">
        <f ca="1">VLOOKUP(B1142,Calc!$K$66:$L$76,2,FALSE)</f>
        <v>#N/A</v>
      </c>
      <c r="D1142" s="81" t="e">
        <f ca="1">VLOOKUP(B1142,Calc!$K$77:$L$87,2,FALSE)</f>
        <v>#N/A</v>
      </c>
      <c r="E1142" s="523" t="e">
        <f ca="1">VLOOKUP(B1142,Calc!$K$88:$L$98,2,FALSE)</f>
        <v>#N/A</v>
      </c>
      <c r="F1142" s="523" t="e">
        <f ca="1">IF(Errorhandling!$C$42,INDEX(Calc!$J$99:$J$109,MATCH(Display!B1142,Calc!$K$99:$K$109,0),1),#N/A)</f>
        <v>#N/A</v>
      </c>
    </row>
    <row r="1143" spans="2:6" x14ac:dyDescent="0.2">
      <c r="B1143" s="6">
        <f t="shared" si="21"/>
        <v>1140</v>
      </c>
      <c r="C1143" s="81" t="e">
        <f ca="1">VLOOKUP(B1143,Calc!$K$66:$L$76,2,FALSE)</f>
        <v>#N/A</v>
      </c>
      <c r="D1143" s="81" t="e">
        <f ca="1">VLOOKUP(B1143,Calc!$K$77:$L$87,2,FALSE)</f>
        <v>#N/A</v>
      </c>
      <c r="E1143" s="523" t="e">
        <f ca="1">VLOOKUP(B1143,Calc!$K$88:$L$98,2,FALSE)</f>
        <v>#N/A</v>
      </c>
      <c r="F1143" s="523" t="e">
        <f ca="1">IF(Errorhandling!$C$42,INDEX(Calc!$J$99:$J$109,MATCH(Display!B1143,Calc!$K$99:$K$109,0),1),#N/A)</f>
        <v>#N/A</v>
      </c>
    </row>
    <row r="1144" spans="2:6" x14ac:dyDescent="0.2">
      <c r="B1144" s="6">
        <f t="shared" si="21"/>
        <v>1141</v>
      </c>
      <c r="C1144" s="81" t="e">
        <f ca="1">VLOOKUP(B1144,Calc!$K$66:$L$76,2,FALSE)</f>
        <v>#N/A</v>
      </c>
      <c r="D1144" s="81" t="e">
        <f ca="1">VLOOKUP(B1144,Calc!$K$77:$L$87,2,FALSE)</f>
        <v>#N/A</v>
      </c>
      <c r="E1144" s="523" t="e">
        <f ca="1">VLOOKUP(B1144,Calc!$K$88:$L$98,2,FALSE)</f>
        <v>#N/A</v>
      </c>
      <c r="F1144" s="523" t="e">
        <f ca="1">IF(Errorhandling!$C$42,INDEX(Calc!$J$99:$J$109,MATCH(Display!B1144,Calc!$K$99:$K$109,0),1),#N/A)</f>
        <v>#N/A</v>
      </c>
    </row>
    <row r="1145" spans="2:6" x14ac:dyDescent="0.2">
      <c r="B1145" s="6">
        <f t="shared" si="21"/>
        <v>1142</v>
      </c>
      <c r="C1145" s="81" t="e">
        <f ca="1">VLOOKUP(B1145,Calc!$K$66:$L$76,2,FALSE)</f>
        <v>#N/A</v>
      </c>
      <c r="D1145" s="81" t="e">
        <f ca="1">VLOOKUP(B1145,Calc!$K$77:$L$87,2,FALSE)</f>
        <v>#N/A</v>
      </c>
      <c r="E1145" s="523" t="e">
        <f ca="1">VLOOKUP(B1145,Calc!$K$88:$L$98,2,FALSE)</f>
        <v>#N/A</v>
      </c>
      <c r="F1145" s="523" t="e">
        <f ca="1">IF(Errorhandling!$C$42,INDEX(Calc!$J$99:$J$109,MATCH(Display!B1145,Calc!$K$99:$K$109,0),1),#N/A)</f>
        <v>#N/A</v>
      </c>
    </row>
    <row r="1146" spans="2:6" x14ac:dyDescent="0.2">
      <c r="B1146" s="6">
        <f t="shared" si="21"/>
        <v>1143</v>
      </c>
      <c r="C1146" s="81" t="e">
        <f ca="1">VLOOKUP(B1146,Calc!$K$66:$L$76,2,FALSE)</f>
        <v>#N/A</v>
      </c>
      <c r="D1146" s="81" t="e">
        <f ca="1">VLOOKUP(B1146,Calc!$K$77:$L$87,2,FALSE)</f>
        <v>#N/A</v>
      </c>
      <c r="E1146" s="523" t="e">
        <f ca="1">VLOOKUP(B1146,Calc!$K$88:$L$98,2,FALSE)</f>
        <v>#N/A</v>
      </c>
      <c r="F1146" s="523" t="e">
        <f ca="1">IF(Errorhandling!$C$42,INDEX(Calc!$J$99:$J$109,MATCH(Display!B1146,Calc!$K$99:$K$109,0),1),#N/A)</f>
        <v>#N/A</v>
      </c>
    </row>
    <row r="1147" spans="2:6" x14ac:dyDescent="0.2">
      <c r="B1147" s="6">
        <f t="shared" si="21"/>
        <v>1144</v>
      </c>
      <c r="C1147" s="81" t="e">
        <f ca="1">VLOOKUP(B1147,Calc!$K$66:$L$76,2,FALSE)</f>
        <v>#N/A</v>
      </c>
      <c r="D1147" s="81" t="e">
        <f ca="1">VLOOKUP(B1147,Calc!$K$77:$L$87,2,FALSE)</f>
        <v>#N/A</v>
      </c>
      <c r="E1147" s="523" t="e">
        <f ca="1">VLOOKUP(B1147,Calc!$K$88:$L$98,2,FALSE)</f>
        <v>#N/A</v>
      </c>
      <c r="F1147" s="523" t="e">
        <f ca="1">IF(Errorhandling!$C$42,INDEX(Calc!$J$99:$J$109,MATCH(Display!B1147,Calc!$K$99:$K$109,0),1),#N/A)</f>
        <v>#N/A</v>
      </c>
    </row>
    <row r="1148" spans="2:6" x14ac:dyDescent="0.2">
      <c r="B1148" s="6">
        <f t="shared" si="21"/>
        <v>1145</v>
      </c>
      <c r="C1148" s="81" t="e">
        <f ca="1">VLOOKUP(B1148,Calc!$K$66:$L$76,2,FALSE)</f>
        <v>#N/A</v>
      </c>
      <c r="D1148" s="81" t="e">
        <f ca="1">VLOOKUP(B1148,Calc!$K$77:$L$87,2,FALSE)</f>
        <v>#N/A</v>
      </c>
      <c r="E1148" s="523" t="e">
        <f ca="1">VLOOKUP(B1148,Calc!$K$88:$L$98,2,FALSE)</f>
        <v>#N/A</v>
      </c>
      <c r="F1148" s="523" t="e">
        <f ca="1">IF(Errorhandling!$C$42,INDEX(Calc!$J$99:$J$109,MATCH(Display!B1148,Calc!$K$99:$K$109,0),1),#N/A)</f>
        <v>#N/A</v>
      </c>
    </row>
    <row r="1149" spans="2:6" x14ac:dyDescent="0.2">
      <c r="B1149" s="6">
        <f t="shared" si="21"/>
        <v>1146</v>
      </c>
      <c r="C1149" s="81" t="e">
        <f ca="1">VLOOKUP(B1149,Calc!$K$66:$L$76,2,FALSE)</f>
        <v>#N/A</v>
      </c>
      <c r="D1149" s="81" t="e">
        <f ca="1">VLOOKUP(B1149,Calc!$K$77:$L$87,2,FALSE)</f>
        <v>#N/A</v>
      </c>
      <c r="E1149" s="523" t="e">
        <f ca="1">VLOOKUP(B1149,Calc!$K$88:$L$98,2,FALSE)</f>
        <v>#N/A</v>
      </c>
      <c r="F1149" s="523" t="e">
        <f ca="1">IF(Errorhandling!$C$42,INDEX(Calc!$J$99:$J$109,MATCH(Display!B1149,Calc!$K$99:$K$109,0),1),#N/A)</f>
        <v>#N/A</v>
      </c>
    </row>
    <row r="1150" spans="2:6" x14ac:dyDescent="0.2">
      <c r="B1150" s="6">
        <f t="shared" si="21"/>
        <v>1147</v>
      </c>
      <c r="C1150" s="81" t="e">
        <f ca="1">VLOOKUP(B1150,Calc!$K$66:$L$76,2,FALSE)</f>
        <v>#N/A</v>
      </c>
      <c r="D1150" s="81" t="e">
        <f ca="1">VLOOKUP(B1150,Calc!$K$77:$L$87,2,FALSE)</f>
        <v>#N/A</v>
      </c>
      <c r="E1150" s="523" t="e">
        <f ca="1">VLOOKUP(B1150,Calc!$K$88:$L$98,2,FALSE)</f>
        <v>#N/A</v>
      </c>
      <c r="F1150" s="523" t="e">
        <f ca="1">IF(Errorhandling!$C$42,INDEX(Calc!$J$99:$J$109,MATCH(Display!B1150,Calc!$K$99:$K$109,0),1),#N/A)</f>
        <v>#N/A</v>
      </c>
    </row>
    <row r="1151" spans="2:6" x14ac:dyDescent="0.2">
      <c r="B1151" s="6">
        <f t="shared" si="21"/>
        <v>1148</v>
      </c>
      <c r="C1151" s="81" t="e">
        <f ca="1">VLOOKUP(B1151,Calc!$K$66:$L$76,2,FALSE)</f>
        <v>#N/A</v>
      </c>
      <c r="D1151" s="81" t="e">
        <f ca="1">VLOOKUP(B1151,Calc!$K$77:$L$87,2,FALSE)</f>
        <v>#N/A</v>
      </c>
      <c r="E1151" s="523" t="e">
        <f ca="1">VLOOKUP(B1151,Calc!$K$88:$L$98,2,FALSE)</f>
        <v>#N/A</v>
      </c>
      <c r="F1151" s="523" t="e">
        <f ca="1">IF(Errorhandling!$C$42,INDEX(Calc!$J$99:$J$109,MATCH(Display!B1151,Calc!$K$99:$K$109,0),1),#N/A)</f>
        <v>#N/A</v>
      </c>
    </row>
    <row r="1152" spans="2:6" x14ac:dyDescent="0.2">
      <c r="B1152" s="6">
        <f t="shared" si="21"/>
        <v>1149</v>
      </c>
      <c r="C1152" s="81" t="e">
        <f ca="1">VLOOKUP(B1152,Calc!$K$66:$L$76,2,FALSE)</f>
        <v>#N/A</v>
      </c>
      <c r="D1152" s="81" t="e">
        <f ca="1">VLOOKUP(B1152,Calc!$K$77:$L$87,2,FALSE)</f>
        <v>#N/A</v>
      </c>
      <c r="E1152" s="523" t="e">
        <f ca="1">VLOOKUP(B1152,Calc!$K$88:$L$98,2,FALSE)</f>
        <v>#N/A</v>
      </c>
      <c r="F1152" s="523" t="e">
        <f ca="1">IF(Errorhandling!$C$42,INDEX(Calc!$J$99:$J$109,MATCH(Display!B1152,Calc!$K$99:$K$109,0),1),#N/A)</f>
        <v>#N/A</v>
      </c>
    </row>
    <row r="1153" spans="2:6" x14ac:dyDescent="0.2">
      <c r="B1153" s="6">
        <f t="shared" si="21"/>
        <v>1150</v>
      </c>
      <c r="C1153" s="81" t="e">
        <f ca="1">VLOOKUP(B1153,Calc!$K$66:$L$76,2,FALSE)</f>
        <v>#N/A</v>
      </c>
      <c r="D1153" s="81" t="e">
        <f ca="1">VLOOKUP(B1153,Calc!$K$77:$L$87,2,FALSE)</f>
        <v>#N/A</v>
      </c>
      <c r="E1153" s="523" t="e">
        <f ca="1">VLOOKUP(B1153,Calc!$K$88:$L$98,2,FALSE)</f>
        <v>#N/A</v>
      </c>
      <c r="F1153" s="523" t="e">
        <f ca="1">IF(Errorhandling!$C$42,INDEX(Calc!$J$99:$J$109,MATCH(Display!B1153,Calc!$K$99:$K$109,0),1),#N/A)</f>
        <v>#N/A</v>
      </c>
    </row>
    <row r="1154" spans="2:6" x14ac:dyDescent="0.2">
      <c r="B1154" s="6">
        <f t="shared" si="21"/>
        <v>1151</v>
      </c>
      <c r="C1154" s="81" t="e">
        <f ca="1">VLOOKUP(B1154,Calc!$K$66:$L$76,2,FALSE)</f>
        <v>#N/A</v>
      </c>
      <c r="D1154" s="81" t="e">
        <f ca="1">VLOOKUP(B1154,Calc!$K$77:$L$87,2,FALSE)</f>
        <v>#N/A</v>
      </c>
      <c r="E1154" s="523" t="e">
        <f ca="1">VLOOKUP(B1154,Calc!$K$88:$L$98,2,FALSE)</f>
        <v>#N/A</v>
      </c>
      <c r="F1154" s="523" t="e">
        <f ca="1">IF(Errorhandling!$C$42,INDEX(Calc!$J$99:$J$109,MATCH(Display!B1154,Calc!$K$99:$K$109,0),1),#N/A)</f>
        <v>#N/A</v>
      </c>
    </row>
    <row r="1155" spans="2:6" x14ac:dyDescent="0.2">
      <c r="B1155" s="6">
        <f t="shared" si="21"/>
        <v>1152</v>
      </c>
      <c r="C1155" s="81" t="e">
        <f ca="1">VLOOKUP(B1155,Calc!$K$66:$L$76,2,FALSE)</f>
        <v>#N/A</v>
      </c>
      <c r="D1155" s="81" t="e">
        <f ca="1">VLOOKUP(B1155,Calc!$K$77:$L$87,2,FALSE)</f>
        <v>#N/A</v>
      </c>
      <c r="E1155" s="523" t="e">
        <f ca="1">VLOOKUP(B1155,Calc!$K$88:$L$98,2,FALSE)</f>
        <v>#N/A</v>
      </c>
      <c r="F1155" s="523" t="e">
        <f ca="1">IF(Errorhandling!$C$42,INDEX(Calc!$J$99:$J$109,MATCH(Display!B1155,Calc!$K$99:$K$109,0),1),#N/A)</f>
        <v>#N/A</v>
      </c>
    </row>
    <row r="1156" spans="2:6" x14ac:dyDescent="0.2">
      <c r="B1156" s="6">
        <f t="shared" si="21"/>
        <v>1153</v>
      </c>
      <c r="C1156" s="81" t="e">
        <f ca="1">VLOOKUP(B1156,Calc!$K$66:$L$76,2,FALSE)</f>
        <v>#N/A</v>
      </c>
      <c r="D1156" s="81" t="e">
        <f ca="1">VLOOKUP(B1156,Calc!$K$77:$L$87,2,FALSE)</f>
        <v>#N/A</v>
      </c>
      <c r="E1156" s="523" t="e">
        <f ca="1">VLOOKUP(B1156,Calc!$K$88:$L$98,2,FALSE)</f>
        <v>#N/A</v>
      </c>
      <c r="F1156" s="523" t="e">
        <f ca="1">IF(Errorhandling!$C$42,INDEX(Calc!$J$99:$J$109,MATCH(Display!B1156,Calc!$K$99:$K$109,0),1),#N/A)</f>
        <v>#N/A</v>
      </c>
    </row>
    <row r="1157" spans="2:6" x14ac:dyDescent="0.2">
      <c r="B1157" s="6">
        <f t="shared" si="21"/>
        <v>1154</v>
      </c>
      <c r="C1157" s="81" t="e">
        <f ca="1">VLOOKUP(B1157,Calc!$K$66:$L$76,2,FALSE)</f>
        <v>#N/A</v>
      </c>
      <c r="D1157" s="81" t="e">
        <f ca="1">VLOOKUP(B1157,Calc!$K$77:$L$87,2,FALSE)</f>
        <v>#N/A</v>
      </c>
      <c r="E1157" s="523" t="e">
        <f ca="1">VLOOKUP(B1157,Calc!$K$88:$L$98,2,FALSE)</f>
        <v>#N/A</v>
      </c>
      <c r="F1157" s="523" t="e">
        <f ca="1">IF(Errorhandling!$C$42,INDEX(Calc!$J$99:$J$109,MATCH(Display!B1157,Calc!$K$99:$K$109,0),1),#N/A)</f>
        <v>#N/A</v>
      </c>
    </row>
    <row r="1158" spans="2:6" x14ac:dyDescent="0.2">
      <c r="B1158" s="6">
        <f t="shared" si="21"/>
        <v>1155</v>
      </c>
      <c r="C1158" s="81" t="e">
        <f ca="1">VLOOKUP(B1158,Calc!$K$66:$L$76,2,FALSE)</f>
        <v>#N/A</v>
      </c>
      <c r="D1158" s="81" t="e">
        <f ca="1">VLOOKUP(B1158,Calc!$K$77:$L$87,2,FALSE)</f>
        <v>#N/A</v>
      </c>
      <c r="E1158" s="523" t="e">
        <f ca="1">VLOOKUP(B1158,Calc!$K$88:$L$98,2,FALSE)</f>
        <v>#N/A</v>
      </c>
      <c r="F1158" s="523" t="e">
        <f ca="1">IF(Errorhandling!$C$42,INDEX(Calc!$J$99:$J$109,MATCH(Display!B1158,Calc!$K$99:$K$109,0),1),#N/A)</f>
        <v>#N/A</v>
      </c>
    </row>
    <row r="1159" spans="2:6" x14ac:dyDescent="0.2">
      <c r="B1159" s="6">
        <f t="shared" ref="B1159:B1222" si="22">1+B1158</f>
        <v>1156</v>
      </c>
      <c r="C1159" s="81" t="e">
        <f ca="1">VLOOKUP(B1159,Calc!$K$66:$L$76,2,FALSE)</f>
        <v>#N/A</v>
      </c>
      <c r="D1159" s="81" t="e">
        <f ca="1">VLOOKUP(B1159,Calc!$K$77:$L$87,2,FALSE)</f>
        <v>#N/A</v>
      </c>
      <c r="E1159" s="523" t="e">
        <f ca="1">VLOOKUP(B1159,Calc!$K$88:$L$98,2,FALSE)</f>
        <v>#N/A</v>
      </c>
      <c r="F1159" s="523" t="e">
        <f ca="1">IF(Errorhandling!$C$42,INDEX(Calc!$J$99:$J$109,MATCH(Display!B1159,Calc!$K$99:$K$109,0),1),#N/A)</f>
        <v>#N/A</v>
      </c>
    </row>
    <row r="1160" spans="2:6" x14ac:dyDescent="0.2">
      <c r="B1160" s="6">
        <f t="shared" si="22"/>
        <v>1157</v>
      </c>
      <c r="C1160" s="81" t="e">
        <f ca="1">VLOOKUP(B1160,Calc!$K$66:$L$76,2,FALSE)</f>
        <v>#N/A</v>
      </c>
      <c r="D1160" s="81" t="e">
        <f ca="1">VLOOKUP(B1160,Calc!$K$77:$L$87,2,FALSE)</f>
        <v>#N/A</v>
      </c>
      <c r="E1160" s="523" t="e">
        <f ca="1">VLOOKUP(B1160,Calc!$K$88:$L$98,2,FALSE)</f>
        <v>#N/A</v>
      </c>
      <c r="F1160" s="523" t="e">
        <f ca="1">IF(Errorhandling!$C$42,INDEX(Calc!$J$99:$J$109,MATCH(Display!B1160,Calc!$K$99:$K$109,0),1),#N/A)</f>
        <v>#N/A</v>
      </c>
    </row>
    <row r="1161" spans="2:6" x14ac:dyDescent="0.2">
      <c r="B1161" s="6">
        <f t="shared" si="22"/>
        <v>1158</v>
      </c>
      <c r="C1161" s="81" t="e">
        <f ca="1">VLOOKUP(B1161,Calc!$K$66:$L$76,2,FALSE)</f>
        <v>#N/A</v>
      </c>
      <c r="D1161" s="81" t="e">
        <f ca="1">VLOOKUP(B1161,Calc!$K$77:$L$87,2,FALSE)</f>
        <v>#N/A</v>
      </c>
      <c r="E1161" s="523" t="e">
        <f ca="1">VLOOKUP(B1161,Calc!$K$88:$L$98,2,FALSE)</f>
        <v>#N/A</v>
      </c>
      <c r="F1161" s="523" t="e">
        <f ca="1">IF(Errorhandling!$C$42,INDEX(Calc!$J$99:$J$109,MATCH(Display!B1161,Calc!$K$99:$K$109,0),1),#N/A)</f>
        <v>#N/A</v>
      </c>
    </row>
    <row r="1162" spans="2:6" x14ac:dyDescent="0.2">
      <c r="B1162" s="6">
        <f t="shared" si="22"/>
        <v>1159</v>
      </c>
      <c r="C1162" s="81" t="e">
        <f ca="1">VLOOKUP(B1162,Calc!$K$66:$L$76,2,FALSE)</f>
        <v>#N/A</v>
      </c>
      <c r="D1162" s="81" t="e">
        <f ca="1">VLOOKUP(B1162,Calc!$K$77:$L$87,2,FALSE)</f>
        <v>#N/A</v>
      </c>
      <c r="E1162" s="523" t="e">
        <f ca="1">VLOOKUP(B1162,Calc!$K$88:$L$98,2,FALSE)</f>
        <v>#N/A</v>
      </c>
      <c r="F1162" s="523" t="e">
        <f ca="1">IF(Errorhandling!$C$42,INDEX(Calc!$J$99:$J$109,MATCH(Display!B1162,Calc!$K$99:$K$109,0),1),#N/A)</f>
        <v>#N/A</v>
      </c>
    </row>
    <row r="1163" spans="2:6" x14ac:dyDescent="0.2">
      <c r="B1163" s="6">
        <f t="shared" si="22"/>
        <v>1160</v>
      </c>
      <c r="C1163" s="81" t="e">
        <f ca="1">VLOOKUP(B1163,Calc!$K$66:$L$76,2,FALSE)</f>
        <v>#N/A</v>
      </c>
      <c r="D1163" s="81" t="e">
        <f ca="1">VLOOKUP(B1163,Calc!$K$77:$L$87,2,FALSE)</f>
        <v>#N/A</v>
      </c>
      <c r="E1163" s="523" t="e">
        <f ca="1">VLOOKUP(B1163,Calc!$K$88:$L$98,2,FALSE)</f>
        <v>#N/A</v>
      </c>
      <c r="F1163" s="523" t="e">
        <f ca="1">IF(Errorhandling!$C$42,INDEX(Calc!$J$99:$J$109,MATCH(Display!B1163,Calc!$K$99:$K$109,0),1),#N/A)</f>
        <v>#N/A</v>
      </c>
    </row>
    <row r="1164" spans="2:6" x14ac:dyDescent="0.2">
      <c r="B1164" s="6">
        <f t="shared" si="22"/>
        <v>1161</v>
      </c>
      <c r="C1164" s="81" t="e">
        <f ca="1">VLOOKUP(B1164,Calc!$K$66:$L$76,2,FALSE)</f>
        <v>#N/A</v>
      </c>
      <c r="D1164" s="81" t="e">
        <f ca="1">VLOOKUP(B1164,Calc!$K$77:$L$87,2,FALSE)</f>
        <v>#N/A</v>
      </c>
      <c r="E1164" s="523" t="e">
        <f ca="1">VLOOKUP(B1164,Calc!$K$88:$L$98,2,FALSE)</f>
        <v>#N/A</v>
      </c>
      <c r="F1164" s="523" t="e">
        <f ca="1">IF(Errorhandling!$C$42,INDEX(Calc!$J$99:$J$109,MATCH(Display!B1164,Calc!$K$99:$K$109,0),1),#N/A)</f>
        <v>#N/A</v>
      </c>
    </row>
    <row r="1165" spans="2:6" x14ac:dyDescent="0.2">
      <c r="B1165" s="6">
        <f t="shared" si="22"/>
        <v>1162</v>
      </c>
      <c r="C1165" s="81" t="e">
        <f ca="1">VLOOKUP(B1165,Calc!$K$66:$L$76,2,FALSE)</f>
        <v>#N/A</v>
      </c>
      <c r="D1165" s="81" t="e">
        <f ca="1">VLOOKUP(B1165,Calc!$K$77:$L$87,2,FALSE)</f>
        <v>#N/A</v>
      </c>
      <c r="E1165" s="523" t="e">
        <f ca="1">VLOOKUP(B1165,Calc!$K$88:$L$98,2,FALSE)</f>
        <v>#N/A</v>
      </c>
      <c r="F1165" s="523" t="e">
        <f ca="1">IF(Errorhandling!$C$42,INDEX(Calc!$J$99:$J$109,MATCH(Display!B1165,Calc!$K$99:$K$109,0),1),#N/A)</f>
        <v>#N/A</v>
      </c>
    </row>
    <row r="1166" spans="2:6" x14ac:dyDescent="0.2">
      <c r="B1166" s="6">
        <f t="shared" si="22"/>
        <v>1163</v>
      </c>
      <c r="C1166" s="81" t="e">
        <f ca="1">VLOOKUP(B1166,Calc!$K$66:$L$76,2,FALSE)</f>
        <v>#N/A</v>
      </c>
      <c r="D1166" s="81" t="e">
        <f ca="1">VLOOKUP(B1166,Calc!$K$77:$L$87,2,FALSE)</f>
        <v>#N/A</v>
      </c>
      <c r="E1166" s="523" t="e">
        <f ca="1">VLOOKUP(B1166,Calc!$K$88:$L$98,2,FALSE)</f>
        <v>#N/A</v>
      </c>
      <c r="F1166" s="523" t="e">
        <f ca="1">IF(Errorhandling!$C$42,INDEX(Calc!$J$99:$J$109,MATCH(Display!B1166,Calc!$K$99:$K$109,0),1),#N/A)</f>
        <v>#N/A</v>
      </c>
    </row>
    <row r="1167" spans="2:6" x14ac:dyDescent="0.2">
      <c r="B1167" s="6">
        <f t="shared" si="22"/>
        <v>1164</v>
      </c>
      <c r="C1167" s="81" t="e">
        <f ca="1">VLOOKUP(B1167,Calc!$K$66:$L$76,2,FALSE)</f>
        <v>#N/A</v>
      </c>
      <c r="D1167" s="81" t="e">
        <f ca="1">VLOOKUP(B1167,Calc!$K$77:$L$87,2,FALSE)</f>
        <v>#N/A</v>
      </c>
      <c r="E1167" s="523" t="e">
        <f ca="1">VLOOKUP(B1167,Calc!$K$88:$L$98,2,FALSE)</f>
        <v>#N/A</v>
      </c>
      <c r="F1167" s="523" t="e">
        <f ca="1">IF(Errorhandling!$C$42,INDEX(Calc!$J$99:$J$109,MATCH(Display!B1167,Calc!$K$99:$K$109,0),1),#N/A)</f>
        <v>#N/A</v>
      </c>
    </row>
    <row r="1168" spans="2:6" x14ac:dyDescent="0.2">
      <c r="B1168" s="6">
        <f t="shared" si="22"/>
        <v>1165</v>
      </c>
      <c r="C1168" s="81" t="e">
        <f ca="1">VLOOKUP(B1168,Calc!$K$66:$L$76,2,FALSE)</f>
        <v>#N/A</v>
      </c>
      <c r="D1168" s="81" t="e">
        <f ca="1">VLOOKUP(B1168,Calc!$K$77:$L$87,2,FALSE)</f>
        <v>#N/A</v>
      </c>
      <c r="E1168" s="523" t="e">
        <f ca="1">VLOOKUP(B1168,Calc!$K$88:$L$98,2,FALSE)</f>
        <v>#N/A</v>
      </c>
      <c r="F1168" s="523" t="e">
        <f ca="1">IF(Errorhandling!$C$42,INDEX(Calc!$J$99:$J$109,MATCH(Display!B1168,Calc!$K$99:$K$109,0),1),#N/A)</f>
        <v>#N/A</v>
      </c>
    </row>
    <row r="1169" spans="2:6" x14ac:dyDescent="0.2">
      <c r="B1169" s="6">
        <f t="shared" si="22"/>
        <v>1166</v>
      </c>
      <c r="C1169" s="81" t="e">
        <f ca="1">VLOOKUP(B1169,Calc!$K$66:$L$76,2,FALSE)</f>
        <v>#N/A</v>
      </c>
      <c r="D1169" s="81" t="e">
        <f ca="1">VLOOKUP(B1169,Calc!$K$77:$L$87,2,FALSE)</f>
        <v>#N/A</v>
      </c>
      <c r="E1169" s="523" t="e">
        <f ca="1">VLOOKUP(B1169,Calc!$K$88:$L$98,2,FALSE)</f>
        <v>#N/A</v>
      </c>
      <c r="F1169" s="523" t="e">
        <f ca="1">IF(Errorhandling!$C$42,INDEX(Calc!$J$99:$J$109,MATCH(Display!B1169,Calc!$K$99:$K$109,0),1),#N/A)</f>
        <v>#N/A</v>
      </c>
    </row>
    <row r="1170" spans="2:6" x14ac:dyDescent="0.2">
      <c r="B1170" s="6">
        <f t="shared" si="22"/>
        <v>1167</v>
      </c>
      <c r="C1170" s="81" t="e">
        <f ca="1">VLOOKUP(B1170,Calc!$K$66:$L$76,2,FALSE)</f>
        <v>#N/A</v>
      </c>
      <c r="D1170" s="81" t="e">
        <f ca="1">VLOOKUP(B1170,Calc!$K$77:$L$87,2,FALSE)</f>
        <v>#N/A</v>
      </c>
      <c r="E1170" s="523" t="e">
        <f ca="1">VLOOKUP(B1170,Calc!$K$88:$L$98,2,FALSE)</f>
        <v>#N/A</v>
      </c>
      <c r="F1170" s="523" t="e">
        <f ca="1">IF(Errorhandling!$C$42,INDEX(Calc!$J$99:$J$109,MATCH(Display!B1170,Calc!$K$99:$K$109,0),1),#N/A)</f>
        <v>#N/A</v>
      </c>
    </row>
    <row r="1171" spans="2:6" x14ac:dyDescent="0.2">
      <c r="B1171" s="6">
        <f t="shared" si="22"/>
        <v>1168</v>
      </c>
      <c r="C1171" s="81" t="e">
        <f ca="1">VLOOKUP(B1171,Calc!$K$66:$L$76,2,FALSE)</f>
        <v>#N/A</v>
      </c>
      <c r="D1171" s="81" t="e">
        <f ca="1">VLOOKUP(B1171,Calc!$K$77:$L$87,2,FALSE)</f>
        <v>#N/A</v>
      </c>
      <c r="E1171" s="523" t="e">
        <f ca="1">VLOOKUP(B1171,Calc!$K$88:$L$98,2,FALSE)</f>
        <v>#N/A</v>
      </c>
      <c r="F1171" s="523" t="e">
        <f ca="1">IF(Errorhandling!$C$42,INDEX(Calc!$J$99:$J$109,MATCH(Display!B1171,Calc!$K$99:$K$109,0),1),#N/A)</f>
        <v>#N/A</v>
      </c>
    </row>
    <row r="1172" spans="2:6" x14ac:dyDescent="0.2">
      <c r="B1172" s="6">
        <f t="shared" si="22"/>
        <v>1169</v>
      </c>
      <c r="C1172" s="81" t="e">
        <f ca="1">VLOOKUP(B1172,Calc!$K$66:$L$76,2,FALSE)</f>
        <v>#N/A</v>
      </c>
      <c r="D1172" s="81" t="e">
        <f ca="1">VLOOKUP(B1172,Calc!$K$77:$L$87,2,FALSE)</f>
        <v>#N/A</v>
      </c>
      <c r="E1172" s="523" t="e">
        <f ca="1">VLOOKUP(B1172,Calc!$K$88:$L$98,2,FALSE)</f>
        <v>#N/A</v>
      </c>
      <c r="F1172" s="523" t="e">
        <f ca="1">IF(Errorhandling!$C$42,INDEX(Calc!$J$99:$J$109,MATCH(Display!B1172,Calc!$K$99:$K$109,0),1),#N/A)</f>
        <v>#N/A</v>
      </c>
    </row>
    <row r="1173" spans="2:6" x14ac:dyDescent="0.2">
      <c r="B1173" s="6">
        <f t="shared" si="22"/>
        <v>1170</v>
      </c>
      <c r="C1173" s="81" t="e">
        <f ca="1">VLOOKUP(B1173,Calc!$K$66:$L$76,2,FALSE)</f>
        <v>#N/A</v>
      </c>
      <c r="D1173" s="81" t="e">
        <f ca="1">VLOOKUP(B1173,Calc!$K$77:$L$87,2,FALSE)</f>
        <v>#N/A</v>
      </c>
      <c r="E1173" s="523">
        <f ca="1">VLOOKUP(B1173,Calc!$K$88:$L$98,2,FALSE)</f>
        <v>48.936996435034871</v>
      </c>
      <c r="F1173" s="523">
        <f ca="1">IF(Errorhandling!$C$42,INDEX(Calc!$J$99:$J$109,MATCH(Display!B1173,Calc!$K$99:$K$109,0),1),#N/A)</f>
        <v>2.4526597865302789E-5</v>
      </c>
    </row>
    <row r="1174" spans="2:6" x14ac:dyDescent="0.2">
      <c r="B1174" s="6">
        <f t="shared" si="22"/>
        <v>1171</v>
      </c>
      <c r="C1174" s="81" t="e">
        <f ca="1">VLOOKUP(B1174,Calc!$K$66:$L$76,2,FALSE)</f>
        <v>#N/A</v>
      </c>
      <c r="D1174" s="81" t="e">
        <f ca="1">VLOOKUP(B1174,Calc!$K$77:$L$87,2,FALSE)</f>
        <v>#N/A</v>
      </c>
      <c r="E1174" s="523" t="e">
        <f ca="1">VLOOKUP(B1174,Calc!$K$88:$L$98,2,FALSE)</f>
        <v>#N/A</v>
      </c>
      <c r="F1174" s="523" t="e">
        <f ca="1">IF(Errorhandling!$C$42,INDEX(Calc!$J$99:$J$109,MATCH(Display!B1174,Calc!$K$99:$K$109,0),1),#N/A)</f>
        <v>#N/A</v>
      </c>
    </row>
    <row r="1175" spans="2:6" x14ac:dyDescent="0.2">
      <c r="B1175" s="6">
        <f t="shared" si="22"/>
        <v>1172</v>
      </c>
      <c r="C1175" s="81" t="e">
        <f ca="1">VLOOKUP(B1175,Calc!$K$66:$L$76,2,FALSE)</f>
        <v>#N/A</v>
      </c>
      <c r="D1175" s="81" t="e">
        <f ca="1">VLOOKUP(B1175,Calc!$K$77:$L$87,2,FALSE)</f>
        <v>#N/A</v>
      </c>
      <c r="E1175" s="523" t="e">
        <f ca="1">VLOOKUP(B1175,Calc!$K$88:$L$98,2,FALSE)</f>
        <v>#N/A</v>
      </c>
      <c r="F1175" s="523" t="e">
        <f ca="1">IF(Errorhandling!$C$42,INDEX(Calc!$J$99:$J$109,MATCH(Display!B1175,Calc!$K$99:$K$109,0),1),#N/A)</f>
        <v>#N/A</v>
      </c>
    </row>
    <row r="1176" spans="2:6" x14ac:dyDescent="0.2">
      <c r="B1176" s="6">
        <f t="shared" si="22"/>
        <v>1173</v>
      </c>
      <c r="C1176" s="81" t="e">
        <f ca="1">VLOOKUP(B1176,Calc!$K$66:$L$76,2,FALSE)</f>
        <v>#N/A</v>
      </c>
      <c r="D1176" s="81" t="e">
        <f ca="1">VLOOKUP(B1176,Calc!$K$77:$L$87,2,FALSE)</f>
        <v>#N/A</v>
      </c>
      <c r="E1176" s="523" t="e">
        <f ca="1">VLOOKUP(B1176,Calc!$K$88:$L$98,2,FALSE)</f>
        <v>#N/A</v>
      </c>
      <c r="F1176" s="523" t="e">
        <f ca="1">IF(Errorhandling!$C$42,INDEX(Calc!$J$99:$J$109,MATCH(Display!B1176,Calc!$K$99:$K$109,0),1),#N/A)</f>
        <v>#N/A</v>
      </c>
    </row>
    <row r="1177" spans="2:6" x14ac:dyDescent="0.2">
      <c r="B1177" s="6">
        <f t="shared" si="22"/>
        <v>1174</v>
      </c>
      <c r="C1177" s="81" t="e">
        <f ca="1">VLOOKUP(B1177,Calc!$K$66:$L$76,2,FALSE)</f>
        <v>#N/A</v>
      </c>
      <c r="D1177" s="81" t="e">
        <f ca="1">VLOOKUP(B1177,Calc!$K$77:$L$87,2,FALSE)</f>
        <v>#N/A</v>
      </c>
      <c r="E1177" s="523" t="e">
        <f ca="1">VLOOKUP(B1177,Calc!$K$88:$L$98,2,FALSE)</f>
        <v>#N/A</v>
      </c>
      <c r="F1177" s="523" t="e">
        <f ca="1">IF(Errorhandling!$C$42,INDEX(Calc!$J$99:$J$109,MATCH(Display!B1177,Calc!$K$99:$K$109,0),1),#N/A)</f>
        <v>#N/A</v>
      </c>
    </row>
    <row r="1178" spans="2:6" x14ac:dyDescent="0.2">
      <c r="B1178" s="6">
        <f t="shared" si="22"/>
        <v>1175</v>
      </c>
      <c r="C1178" s="81" t="e">
        <f ca="1">VLOOKUP(B1178,Calc!$K$66:$L$76,2,FALSE)</f>
        <v>#N/A</v>
      </c>
      <c r="D1178" s="81" t="e">
        <f ca="1">VLOOKUP(B1178,Calc!$K$77:$L$87,2,FALSE)</f>
        <v>#N/A</v>
      </c>
      <c r="E1178" s="523" t="e">
        <f ca="1">VLOOKUP(B1178,Calc!$K$88:$L$98,2,FALSE)</f>
        <v>#N/A</v>
      </c>
      <c r="F1178" s="523" t="e">
        <f ca="1">IF(Errorhandling!$C$42,INDEX(Calc!$J$99:$J$109,MATCH(Display!B1178,Calc!$K$99:$K$109,0),1),#N/A)</f>
        <v>#N/A</v>
      </c>
    </row>
    <row r="1179" spans="2:6" x14ac:dyDescent="0.2">
      <c r="B1179" s="6">
        <f t="shared" si="22"/>
        <v>1176</v>
      </c>
      <c r="C1179" s="81" t="e">
        <f ca="1">VLOOKUP(B1179,Calc!$K$66:$L$76,2,FALSE)</f>
        <v>#N/A</v>
      </c>
      <c r="D1179" s="81" t="e">
        <f ca="1">VLOOKUP(B1179,Calc!$K$77:$L$87,2,FALSE)</f>
        <v>#N/A</v>
      </c>
      <c r="E1179" s="523" t="e">
        <f ca="1">VLOOKUP(B1179,Calc!$K$88:$L$98,2,FALSE)</f>
        <v>#N/A</v>
      </c>
      <c r="F1179" s="523" t="e">
        <f ca="1">IF(Errorhandling!$C$42,INDEX(Calc!$J$99:$J$109,MATCH(Display!B1179,Calc!$K$99:$K$109,0),1),#N/A)</f>
        <v>#N/A</v>
      </c>
    </row>
    <row r="1180" spans="2:6" x14ac:dyDescent="0.2">
      <c r="B1180" s="6">
        <f t="shared" si="22"/>
        <v>1177</v>
      </c>
      <c r="C1180" s="81" t="e">
        <f ca="1">VLOOKUP(B1180,Calc!$K$66:$L$76,2,FALSE)</f>
        <v>#N/A</v>
      </c>
      <c r="D1180" s="81" t="e">
        <f ca="1">VLOOKUP(B1180,Calc!$K$77:$L$87,2,FALSE)</f>
        <v>#N/A</v>
      </c>
      <c r="E1180" s="523" t="e">
        <f ca="1">VLOOKUP(B1180,Calc!$K$88:$L$98,2,FALSE)</f>
        <v>#N/A</v>
      </c>
      <c r="F1180" s="523" t="e">
        <f ca="1">IF(Errorhandling!$C$42,INDEX(Calc!$J$99:$J$109,MATCH(Display!B1180,Calc!$K$99:$K$109,0),1),#N/A)</f>
        <v>#N/A</v>
      </c>
    </row>
    <row r="1181" spans="2:6" x14ac:dyDescent="0.2">
      <c r="B1181" s="6">
        <f t="shared" si="22"/>
        <v>1178</v>
      </c>
      <c r="C1181" s="81" t="e">
        <f ca="1">VLOOKUP(B1181,Calc!$K$66:$L$76,2,FALSE)</f>
        <v>#N/A</v>
      </c>
      <c r="D1181" s="81" t="e">
        <f ca="1">VLOOKUP(B1181,Calc!$K$77:$L$87,2,FALSE)</f>
        <v>#N/A</v>
      </c>
      <c r="E1181" s="523" t="e">
        <f ca="1">VLOOKUP(B1181,Calc!$K$88:$L$98,2,FALSE)</f>
        <v>#N/A</v>
      </c>
      <c r="F1181" s="523" t="e">
        <f ca="1">IF(Errorhandling!$C$42,INDEX(Calc!$J$99:$J$109,MATCH(Display!B1181,Calc!$K$99:$K$109,0),1),#N/A)</f>
        <v>#N/A</v>
      </c>
    </row>
    <row r="1182" spans="2:6" x14ac:dyDescent="0.2">
      <c r="B1182" s="6">
        <f t="shared" si="22"/>
        <v>1179</v>
      </c>
      <c r="C1182" s="81" t="e">
        <f ca="1">VLOOKUP(B1182,Calc!$K$66:$L$76,2,FALSE)</f>
        <v>#N/A</v>
      </c>
      <c r="D1182" s="81" t="e">
        <f ca="1">VLOOKUP(B1182,Calc!$K$77:$L$87,2,FALSE)</f>
        <v>#N/A</v>
      </c>
      <c r="E1182" s="523" t="e">
        <f ca="1">VLOOKUP(B1182,Calc!$K$88:$L$98,2,FALSE)</f>
        <v>#N/A</v>
      </c>
      <c r="F1182" s="523" t="e">
        <f ca="1">IF(Errorhandling!$C$42,INDEX(Calc!$J$99:$J$109,MATCH(Display!B1182,Calc!$K$99:$K$109,0),1),#N/A)</f>
        <v>#N/A</v>
      </c>
    </row>
    <row r="1183" spans="2:6" x14ac:dyDescent="0.2">
      <c r="B1183" s="6">
        <f t="shared" si="22"/>
        <v>1180</v>
      </c>
      <c r="C1183" s="81" t="e">
        <f ca="1">VLOOKUP(B1183,Calc!$K$66:$L$76,2,FALSE)</f>
        <v>#N/A</v>
      </c>
      <c r="D1183" s="81" t="e">
        <f ca="1">VLOOKUP(B1183,Calc!$K$77:$L$87,2,FALSE)</f>
        <v>#N/A</v>
      </c>
      <c r="E1183" s="523" t="e">
        <f ca="1">VLOOKUP(B1183,Calc!$K$88:$L$98,2,FALSE)</f>
        <v>#N/A</v>
      </c>
      <c r="F1183" s="523" t="e">
        <f ca="1">IF(Errorhandling!$C$42,INDEX(Calc!$J$99:$J$109,MATCH(Display!B1183,Calc!$K$99:$K$109,0),1),#N/A)</f>
        <v>#N/A</v>
      </c>
    </row>
    <row r="1184" spans="2:6" x14ac:dyDescent="0.2">
      <c r="B1184" s="6">
        <f t="shared" si="22"/>
        <v>1181</v>
      </c>
      <c r="C1184" s="81" t="e">
        <f ca="1">VLOOKUP(B1184,Calc!$K$66:$L$76,2,FALSE)</f>
        <v>#N/A</v>
      </c>
      <c r="D1184" s="81" t="e">
        <f ca="1">VLOOKUP(B1184,Calc!$K$77:$L$87,2,FALSE)</f>
        <v>#N/A</v>
      </c>
      <c r="E1184" s="523" t="e">
        <f ca="1">VLOOKUP(B1184,Calc!$K$88:$L$98,2,FALSE)</f>
        <v>#N/A</v>
      </c>
      <c r="F1184" s="523" t="e">
        <f ca="1">IF(Errorhandling!$C$42,INDEX(Calc!$J$99:$J$109,MATCH(Display!B1184,Calc!$K$99:$K$109,0),1),#N/A)</f>
        <v>#N/A</v>
      </c>
    </row>
    <row r="1185" spans="2:6" x14ac:dyDescent="0.2">
      <c r="B1185" s="6">
        <f t="shared" si="22"/>
        <v>1182</v>
      </c>
      <c r="C1185" s="81" t="e">
        <f ca="1">VLOOKUP(B1185,Calc!$K$66:$L$76,2,FALSE)</f>
        <v>#N/A</v>
      </c>
      <c r="D1185" s="81" t="e">
        <f ca="1">VLOOKUP(B1185,Calc!$K$77:$L$87,2,FALSE)</f>
        <v>#N/A</v>
      </c>
      <c r="E1185" s="523" t="e">
        <f ca="1">VLOOKUP(B1185,Calc!$K$88:$L$98,2,FALSE)</f>
        <v>#N/A</v>
      </c>
      <c r="F1185" s="523" t="e">
        <f ca="1">IF(Errorhandling!$C$42,INDEX(Calc!$J$99:$J$109,MATCH(Display!B1185,Calc!$K$99:$K$109,0),1),#N/A)</f>
        <v>#N/A</v>
      </c>
    </row>
    <row r="1186" spans="2:6" x14ac:dyDescent="0.2">
      <c r="B1186" s="6">
        <f t="shared" si="22"/>
        <v>1183</v>
      </c>
      <c r="C1186" s="81" t="e">
        <f ca="1">VLOOKUP(B1186,Calc!$K$66:$L$76,2,FALSE)</f>
        <v>#N/A</v>
      </c>
      <c r="D1186" s="81" t="e">
        <f ca="1">VLOOKUP(B1186,Calc!$K$77:$L$87,2,FALSE)</f>
        <v>#N/A</v>
      </c>
      <c r="E1186" s="523" t="e">
        <f ca="1">VLOOKUP(B1186,Calc!$K$88:$L$98,2,FALSE)</f>
        <v>#N/A</v>
      </c>
      <c r="F1186" s="523" t="e">
        <f ca="1">IF(Errorhandling!$C$42,INDEX(Calc!$J$99:$J$109,MATCH(Display!B1186,Calc!$K$99:$K$109,0),1),#N/A)</f>
        <v>#N/A</v>
      </c>
    </row>
    <row r="1187" spans="2:6" x14ac:dyDescent="0.2">
      <c r="B1187" s="6">
        <f t="shared" si="22"/>
        <v>1184</v>
      </c>
      <c r="C1187" s="81" t="e">
        <f ca="1">VLOOKUP(B1187,Calc!$K$66:$L$76,2,FALSE)</f>
        <v>#N/A</v>
      </c>
      <c r="D1187" s="81" t="e">
        <f ca="1">VLOOKUP(B1187,Calc!$K$77:$L$87,2,FALSE)</f>
        <v>#N/A</v>
      </c>
      <c r="E1187" s="523" t="e">
        <f ca="1">VLOOKUP(B1187,Calc!$K$88:$L$98,2,FALSE)</f>
        <v>#N/A</v>
      </c>
      <c r="F1187" s="523" t="e">
        <f ca="1">IF(Errorhandling!$C$42,INDEX(Calc!$J$99:$J$109,MATCH(Display!B1187,Calc!$K$99:$K$109,0),1),#N/A)</f>
        <v>#N/A</v>
      </c>
    </row>
    <row r="1188" spans="2:6" x14ac:dyDescent="0.2">
      <c r="B1188" s="6">
        <f t="shared" si="22"/>
        <v>1185</v>
      </c>
      <c r="C1188" s="81" t="e">
        <f ca="1">VLOOKUP(B1188,Calc!$K$66:$L$76,2,FALSE)</f>
        <v>#N/A</v>
      </c>
      <c r="D1188" s="81" t="e">
        <f ca="1">VLOOKUP(B1188,Calc!$K$77:$L$87,2,FALSE)</f>
        <v>#N/A</v>
      </c>
      <c r="E1188" s="523" t="e">
        <f ca="1">VLOOKUP(B1188,Calc!$K$88:$L$98,2,FALSE)</f>
        <v>#N/A</v>
      </c>
      <c r="F1188" s="523" t="e">
        <f ca="1">IF(Errorhandling!$C$42,INDEX(Calc!$J$99:$J$109,MATCH(Display!B1188,Calc!$K$99:$K$109,0),1),#N/A)</f>
        <v>#N/A</v>
      </c>
    </row>
    <row r="1189" spans="2:6" x14ac:dyDescent="0.2">
      <c r="B1189" s="6">
        <f t="shared" si="22"/>
        <v>1186</v>
      </c>
      <c r="C1189" s="81" t="e">
        <f ca="1">VLOOKUP(B1189,Calc!$K$66:$L$76,2,FALSE)</f>
        <v>#N/A</v>
      </c>
      <c r="D1189" s="81" t="e">
        <f ca="1">VLOOKUP(B1189,Calc!$K$77:$L$87,2,FALSE)</f>
        <v>#N/A</v>
      </c>
      <c r="E1189" s="523" t="e">
        <f ca="1">VLOOKUP(B1189,Calc!$K$88:$L$98,2,FALSE)</f>
        <v>#N/A</v>
      </c>
      <c r="F1189" s="523" t="e">
        <f ca="1">IF(Errorhandling!$C$42,INDEX(Calc!$J$99:$J$109,MATCH(Display!B1189,Calc!$K$99:$K$109,0),1),#N/A)</f>
        <v>#N/A</v>
      </c>
    </row>
    <row r="1190" spans="2:6" x14ac:dyDescent="0.2">
      <c r="B1190" s="6">
        <f t="shared" si="22"/>
        <v>1187</v>
      </c>
      <c r="C1190" s="81" t="e">
        <f ca="1">VLOOKUP(B1190,Calc!$K$66:$L$76,2,FALSE)</f>
        <v>#N/A</v>
      </c>
      <c r="D1190" s="81" t="e">
        <f ca="1">VLOOKUP(B1190,Calc!$K$77:$L$87,2,FALSE)</f>
        <v>#N/A</v>
      </c>
      <c r="E1190" s="523" t="e">
        <f ca="1">VLOOKUP(B1190,Calc!$K$88:$L$98,2,FALSE)</f>
        <v>#N/A</v>
      </c>
      <c r="F1190" s="523" t="e">
        <f ca="1">IF(Errorhandling!$C$42,INDEX(Calc!$J$99:$J$109,MATCH(Display!B1190,Calc!$K$99:$K$109,0),1),#N/A)</f>
        <v>#N/A</v>
      </c>
    </row>
    <row r="1191" spans="2:6" x14ac:dyDescent="0.2">
      <c r="B1191" s="6">
        <f t="shared" si="22"/>
        <v>1188</v>
      </c>
      <c r="C1191" s="81" t="e">
        <f ca="1">VLOOKUP(B1191,Calc!$K$66:$L$76,2,FALSE)</f>
        <v>#N/A</v>
      </c>
      <c r="D1191" s="81" t="e">
        <f ca="1">VLOOKUP(B1191,Calc!$K$77:$L$87,2,FALSE)</f>
        <v>#N/A</v>
      </c>
      <c r="E1191" s="523" t="e">
        <f ca="1">VLOOKUP(B1191,Calc!$K$88:$L$98,2,FALSE)</f>
        <v>#N/A</v>
      </c>
      <c r="F1191" s="523" t="e">
        <f ca="1">IF(Errorhandling!$C$42,INDEX(Calc!$J$99:$J$109,MATCH(Display!B1191,Calc!$K$99:$K$109,0),1),#N/A)</f>
        <v>#N/A</v>
      </c>
    </row>
    <row r="1192" spans="2:6" x14ac:dyDescent="0.2">
      <c r="B1192" s="6">
        <f t="shared" si="22"/>
        <v>1189</v>
      </c>
      <c r="C1192" s="81" t="e">
        <f ca="1">VLOOKUP(B1192,Calc!$K$66:$L$76,2,FALSE)</f>
        <v>#N/A</v>
      </c>
      <c r="D1192" s="81" t="e">
        <f ca="1">VLOOKUP(B1192,Calc!$K$77:$L$87,2,FALSE)</f>
        <v>#N/A</v>
      </c>
      <c r="E1192" s="523" t="e">
        <f ca="1">VLOOKUP(B1192,Calc!$K$88:$L$98,2,FALSE)</f>
        <v>#N/A</v>
      </c>
      <c r="F1192" s="523" t="e">
        <f ca="1">IF(Errorhandling!$C$42,INDEX(Calc!$J$99:$J$109,MATCH(Display!B1192,Calc!$K$99:$K$109,0),1),#N/A)</f>
        <v>#N/A</v>
      </c>
    </row>
    <row r="1193" spans="2:6" x14ac:dyDescent="0.2">
      <c r="B1193" s="6">
        <f t="shared" si="22"/>
        <v>1190</v>
      </c>
      <c r="C1193" s="81" t="e">
        <f ca="1">VLOOKUP(B1193,Calc!$K$66:$L$76,2,FALSE)</f>
        <v>#N/A</v>
      </c>
      <c r="D1193" s="81" t="e">
        <f ca="1">VLOOKUP(B1193,Calc!$K$77:$L$87,2,FALSE)</f>
        <v>#N/A</v>
      </c>
      <c r="E1193" s="523" t="e">
        <f ca="1">VLOOKUP(B1193,Calc!$K$88:$L$98,2,FALSE)</f>
        <v>#N/A</v>
      </c>
      <c r="F1193" s="523" t="e">
        <f ca="1">IF(Errorhandling!$C$42,INDEX(Calc!$J$99:$J$109,MATCH(Display!B1193,Calc!$K$99:$K$109,0),1),#N/A)</f>
        <v>#N/A</v>
      </c>
    </row>
    <row r="1194" spans="2:6" x14ac:dyDescent="0.2">
      <c r="B1194" s="6">
        <f t="shared" si="22"/>
        <v>1191</v>
      </c>
      <c r="C1194" s="81" t="e">
        <f ca="1">VLOOKUP(B1194,Calc!$K$66:$L$76,2,FALSE)</f>
        <v>#N/A</v>
      </c>
      <c r="D1194" s="81" t="e">
        <f ca="1">VLOOKUP(B1194,Calc!$K$77:$L$87,2,FALSE)</f>
        <v>#N/A</v>
      </c>
      <c r="E1194" s="523" t="e">
        <f ca="1">VLOOKUP(B1194,Calc!$K$88:$L$98,2,FALSE)</f>
        <v>#N/A</v>
      </c>
      <c r="F1194" s="523" t="e">
        <f ca="1">IF(Errorhandling!$C$42,INDEX(Calc!$J$99:$J$109,MATCH(Display!B1194,Calc!$K$99:$K$109,0),1),#N/A)</f>
        <v>#N/A</v>
      </c>
    </row>
    <row r="1195" spans="2:6" x14ac:dyDescent="0.2">
      <c r="B1195" s="6">
        <f t="shared" si="22"/>
        <v>1192</v>
      </c>
      <c r="C1195" s="81" t="e">
        <f ca="1">VLOOKUP(B1195,Calc!$K$66:$L$76,2,FALSE)</f>
        <v>#N/A</v>
      </c>
      <c r="D1195" s="81" t="e">
        <f ca="1">VLOOKUP(B1195,Calc!$K$77:$L$87,2,FALSE)</f>
        <v>#N/A</v>
      </c>
      <c r="E1195" s="523" t="e">
        <f ca="1">VLOOKUP(B1195,Calc!$K$88:$L$98,2,FALSE)</f>
        <v>#N/A</v>
      </c>
      <c r="F1195" s="523" t="e">
        <f ca="1">IF(Errorhandling!$C$42,INDEX(Calc!$J$99:$J$109,MATCH(Display!B1195,Calc!$K$99:$K$109,0),1),#N/A)</f>
        <v>#N/A</v>
      </c>
    </row>
    <row r="1196" spans="2:6" x14ac:dyDescent="0.2">
      <c r="B1196" s="6">
        <f t="shared" si="22"/>
        <v>1193</v>
      </c>
      <c r="C1196" s="81" t="e">
        <f ca="1">VLOOKUP(B1196,Calc!$K$66:$L$76,2,FALSE)</f>
        <v>#N/A</v>
      </c>
      <c r="D1196" s="81" t="e">
        <f ca="1">VLOOKUP(B1196,Calc!$K$77:$L$87,2,FALSE)</f>
        <v>#N/A</v>
      </c>
      <c r="E1196" s="523" t="e">
        <f ca="1">VLOOKUP(B1196,Calc!$K$88:$L$98,2,FALSE)</f>
        <v>#N/A</v>
      </c>
      <c r="F1196" s="523" t="e">
        <f ca="1">IF(Errorhandling!$C$42,INDEX(Calc!$J$99:$J$109,MATCH(Display!B1196,Calc!$K$99:$K$109,0),1),#N/A)</f>
        <v>#N/A</v>
      </c>
    </row>
    <row r="1197" spans="2:6" x14ac:dyDescent="0.2">
      <c r="B1197" s="6">
        <f t="shared" si="22"/>
        <v>1194</v>
      </c>
      <c r="C1197" s="81" t="e">
        <f ca="1">VLOOKUP(B1197,Calc!$K$66:$L$76,2,FALSE)</f>
        <v>#N/A</v>
      </c>
      <c r="D1197" s="81" t="e">
        <f ca="1">VLOOKUP(B1197,Calc!$K$77:$L$87,2,FALSE)</f>
        <v>#N/A</v>
      </c>
      <c r="E1197" s="523" t="e">
        <f ca="1">VLOOKUP(B1197,Calc!$K$88:$L$98,2,FALSE)</f>
        <v>#N/A</v>
      </c>
      <c r="F1197" s="523" t="e">
        <f ca="1">IF(Errorhandling!$C$42,INDEX(Calc!$J$99:$J$109,MATCH(Display!B1197,Calc!$K$99:$K$109,0),1),#N/A)</f>
        <v>#N/A</v>
      </c>
    </row>
    <row r="1198" spans="2:6" x14ac:dyDescent="0.2">
      <c r="B1198" s="6">
        <f t="shared" si="22"/>
        <v>1195</v>
      </c>
      <c r="C1198" s="81" t="e">
        <f ca="1">VLOOKUP(B1198,Calc!$K$66:$L$76,2,FALSE)</f>
        <v>#N/A</v>
      </c>
      <c r="D1198" s="81" t="e">
        <f ca="1">VLOOKUP(B1198,Calc!$K$77:$L$87,2,FALSE)</f>
        <v>#N/A</v>
      </c>
      <c r="E1198" s="523" t="e">
        <f ca="1">VLOOKUP(B1198,Calc!$K$88:$L$98,2,FALSE)</f>
        <v>#N/A</v>
      </c>
      <c r="F1198" s="523" t="e">
        <f ca="1">IF(Errorhandling!$C$42,INDEX(Calc!$J$99:$J$109,MATCH(Display!B1198,Calc!$K$99:$K$109,0),1),#N/A)</f>
        <v>#N/A</v>
      </c>
    </row>
    <row r="1199" spans="2:6" x14ac:dyDescent="0.2">
      <c r="B1199" s="6">
        <f t="shared" si="22"/>
        <v>1196</v>
      </c>
      <c r="C1199" s="81" t="e">
        <f ca="1">VLOOKUP(B1199,Calc!$K$66:$L$76,2,FALSE)</f>
        <v>#N/A</v>
      </c>
      <c r="D1199" s="81" t="e">
        <f ca="1">VLOOKUP(B1199,Calc!$K$77:$L$87,2,FALSE)</f>
        <v>#N/A</v>
      </c>
      <c r="E1199" s="523" t="e">
        <f ca="1">VLOOKUP(B1199,Calc!$K$88:$L$98,2,FALSE)</f>
        <v>#N/A</v>
      </c>
      <c r="F1199" s="523" t="e">
        <f ca="1">IF(Errorhandling!$C$42,INDEX(Calc!$J$99:$J$109,MATCH(Display!B1199,Calc!$K$99:$K$109,0),1),#N/A)</f>
        <v>#N/A</v>
      </c>
    </row>
    <row r="1200" spans="2:6" x14ac:dyDescent="0.2">
      <c r="B1200" s="6">
        <f t="shared" si="22"/>
        <v>1197</v>
      </c>
      <c r="C1200" s="81" t="e">
        <f ca="1">VLOOKUP(B1200,Calc!$K$66:$L$76,2,FALSE)</f>
        <v>#N/A</v>
      </c>
      <c r="D1200" s="81" t="e">
        <f ca="1">VLOOKUP(B1200,Calc!$K$77:$L$87,2,FALSE)</f>
        <v>#N/A</v>
      </c>
      <c r="E1200" s="523" t="e">
        <f ca="1">VLOOKUP(B1200,Calc!$K$88:$L$98,2,FALSE)</f>
        <v>#N/A</v>
      </c>
      <c r="F1200" s="523" t="e">
        <f ca="1">IF(Errorhandling!$C$42,INDEX(Calc!$J$99:$J$109,MATCH(Display!B1200,Calc!$K$99:$K$109,0),1),#N/A)</f>
        <v>#N/A</v>
      </c>
    </row>
    <row r="1201" spans="2:6" x14ac:dyDescent="0.2">
      <c r="B1201" s="6">
        <f t="shared" si="22"/>
        <v>1198</v>
      </c>
      <c r="C1201" s="81" t="e">
        <f ca="1">VLOOKUP(B1201,Calc!$K$66:$L$76,2,FALSE)</f>
        <v>#N/A</v>
      </c>
      <c r="D1201" s="81" t="e">
        <f ca="1">VLOOKUP(B1201,Calc!$K$77:$L$87,2,FALSE)</f>
        <v>#N/A</v>
      </c>
      <c r="E1201" s="523" t="e">
        <f ca="1">VLOOKUP(B1201,Calc!$K$88:$L$98,2,FALSE)</f>
        <v>#N/A</v>
      </c>
      <c r="F1201" s="523" t="e">
        <f ca="1">IF(Errorhandling!$C$42,INDEX(Calc!$J$99:$J$109,MATCH(Display!B1201,Calc!$K$99:$K$109,0),1),#N/A)</f>
        <v>#N/A</v>
      </c>
    </row>
    <row r="1202" spans="2:6" x14ac:dyDescent="0.2">
      <c r="B1202" s="6">
        <f t="shared" si="22"/>
        <v>1199</v>
      </c>
      <c r="C1202" s="81" t="e">
        <f ca="1">VLOOKUP(B1202,Calc!$K$66:$L$76,2,FALSE)</f>
        <v>#N/A</v>
      </c>
      <c r="D1202" s="81" t="e">
        <f ca="1">VLOOKUP(B1202,Calc!$K$77:$L$87,2,FALSE)</f>
        <v>#N/A</v>
      </c>
      <c r="E1202" s="523" t="e">
        <f ca="1">VLOOKUP(B1202,Calc!$K$88:$L$98,2,FALSE)</f>
        <v>#N/A</v>
      </c>
      <c r="F1202" s="523" t="e">
        <f ca="1">IF(Errorhandling!$C$42,INDEX(Calc!$J$99:$J$109,MATCH(Display!B1202,Calc!$K$99:$K$109,0),1),#N/A)</f>
        <v>#N/A</v>
      </c>
    </row>
    <row r="1203" spans="2:6" x14ac:dyDescent="0.2">
      <c r="B1203" s="6">
        <f t="shared" si="22"/>
        <v>1200</v>
      </c>
      <c r="C1203" s="81" t="e">
        <f ca="1">VLOOKUP(B1203,Calc!$K$66:$L$76,2,FALSE)</f>
        <v>#N/A</v>
      </c>
      <c r="D1203" s="81" t="e">
        <f ca="1">VLOOKUP(B1203,Calc!$K$77:$L$87,2,FALSE)</f>
        <v>#N/A</v>
      </c>
      <c r="E1203" s="523" t="e">
        <f ca="1">VLOOKUP(B1203,Calc!$K$88:$L$98,2,FALSE)</f>
        <v>#N/A</v>
      </c>
      <c r="F1203" s="523" t="e">
        <f ca="1">IF(Errorhandling!$C$42,INDEX(Calc!$J$99:$J$109,MATCH(Display!B1203,Calc!$K$99:$K$109,0),1),#N/A)</f>
        <v>#N/A</v>
      </c>
    </row>
    <row r="1204" spans="2:6" x14ac:dyDescent="0.2">
      <c r="B1204" s="6">
        <f t="shared" si="22"/>
        <v>1201</v>
      </c>
      <c r="C1204" s="81" t="e">
        <f ca="1">VLOOKUP(B1204,Calc!$K$66:$L$76,2,FALSE)</f>
        <v>#N/A</v>
      </c>
      <c r="D1204" s="81" t="e">
        <f ca="1">VLOOKUP(B1204,Calc!$K$77:$L$87,2,FALSE)</f>
        <v>#N/A</v>
      </c>
      <c r="E1204" s="523" t="e">
        <f ca="1">VLOOKUP(B1204,Calc!$K$88:$L$98,2,FALSE)</f>
        <v>#N/A</v>
      </c>
      <c r="F1204" s="523" t="e">
        <f ca="1">IF(Errorhandling!$C$42,INDEX(Calc!$J$99:$J$109,MATCH(Display!B1204,Calc!$K$99:$K$109,0),1),#N/A)</f>
        <v>#N/A</v>
      </c>
    </row>
    <row r="1205" spans="2:6" x14ac:dyDescent="0.2">
      <c r="B1205" s="6">
        <f t="shared" si="22"/>
        <v>1202</v>
      </c>
      <c r="C1205" s="81" t="e">
        <f ca="1">VLOOKUP(B1205,Calc!$K$66:$L$76,2,FALSE)</f>
        <v>#N/A</v>
      </c>
      <c r="D1205" s="81" t="e">
        <f ca="1">VLOOKUP(B1205,Calc!$K$77:$L$87,2,FALSE)</f>
        <v>#N/A</v>
      </c>
      <c r="E1205" s="523" t="e">
        <f ca="1">VLOOKUP(B1205,Calc!$K$88:$L$98,2,FALSE)</f>
        <v>#N/A</v>
      </c>
      <c r="F1205" s="523" t="e">
        <f ca="1">IF(Errorhandling!$C$42,INDEX(Calc!$J$99:$J$109,MATCH(Display!B1205,Calc!$K$99:$K$109,0),1),#N/A)</f>
        <v>#N/A</v>
      </c>
    </row>
    <row r="1206" spans="2:6" x14ac:dyDescent="0.2">
      <c r="B1206" s="6">
        <f t="shared" si="22"/>
        <v>1203</v>
      </c>
      <c r="C1206" s="81" t="e">
        <f ca="1">VLOOKUP(B1206,Calc!$K$66:$L$76,2,FALSE)</f>
        <v>#N/A</v>
      </c>
      <c r="D1206" s="81" t="e">
        <f ca="1">VLOOKUP(B1206,Calc!$K$77:$L$87,2,FALSE)</f>
        <v>#N/A</v>
      </c>
      <c r="E1206" s="523" t="e">
        <f ca="1">VLOOKUP(B1206,Calc!$K$88:$L$98,2,FALSE)</f>
        <v>#N/A</v>
      </c>
      <c r="F1206" s="523" t="e">
        <f ca="1">IF(Errorhandling!$C$42,INDEX(Calc!$J$99:$J$109,MATCH(Display!B1206,Calc!$K$99:$K$109,0),1),#N/A)</f>
        <v>#N/A</v>
      </c>
    </row>
    <row r="1207" spans="2:6" x14ac:dyDescent="0.2">
      <c r="B1207" s="6">
        <f t="shared" si="22"/>
        <v>1204</v>
      </c>
      <c r="C1207" s="81" t="e">
        <f ca="1">VLOOKUP(B1207,Calc!$K$66:$L$76,2,FALSE)</f>
        <v>#N/A</v>
      </c>
      <c r="D1207" s="81" t="e">
        <f ca="1">VLOOKUP(B1207,Calc!$K$77:$L$87,2,FALSE)</f>
        <v>#N/A</v>
      </c>
      <c r="E1207" s="523" t="e">
        <f ca="1">VLOOKUP(B1207,Calc!$K$88:$L$98,2,FALSE)</f>
        <v>#N/A</v>
      </c>
      <c r="F1207" s="523" t="e">
        <f ca="1">IF(Errorhandling!$C$42,INDEX(Calc!$J$99:$J$109,MATCH(Display!B1207,Calc!$K$99:$K$109,0),1),#N/A)</f>
        <v>#N/A</v>
      </c>
    </row>
    <row r="1208" spans="2:6" x14ac:dyDescent="0.2">
      <c r="B1208" s="6">
        <f t="shared" si="22"/>
        <v>1205</v>
      </c>
      <c r="C1208" s="81" t="e">
        <f ca="1">VLOOKUP(B1208,Calc!$K$66:$L$76,2,FALSE)</f>
        <v>#N/A</v>
      </c>
      <c r="D1208" s="81" t="e">
        <f ca="1">VLOOKUP(B1208,Calc!$K$77:$L$87,2,FALSE)</f>
        <v>#N/A</v>
      </c>
      <c r="E1208" s="523" t="e">
        <f ca="1">VLOOKUP(B1208,Calc!$K$88:$L$98,2,FALSE)</f>
        <v>#N/A</v>
      </c>
      <c r="F1208" s="523" t="e">
        <f ca="1">IF(Errorhandling!$C$42,INDEX(Calc!$J$99:$J$109,MATCH(Display!B1208,Calc!$K$99:$K$109,0),1),#N/A)</f>
        <v>#N/A</v>
      </c>
    </row>
    <row r="1209" spans="2:6" x14ac:dyDescent="0.2">
      <c r="B1209" s="6">
        <f t="shared" si="22"/>
        <v>1206</v>
      </c>
      <c r="C1209" s="81" t="e">
        <f ca="1">VLOOKUP(B1209,Calc!$K$66:$L$76,2,FALSE)</f>
        <v>#N/A</v>
      </c>
      <c r="D1209" s="81" t="e">
        <f ca="1">VLOOKUP(B1209,Calc!$K$77:$L$87,2,FALSE)</f>
        <v>#N/A</v>
      </c>
      <c r="E1209" s="523" t="e">
        <f ca="1">VLOOKUP(B1209,Calc!$K$88:$L$98,2,FALSE)</f>
        <v>#N/A</v>
      </c>
      <c r="F1209" s="523" t="e">
        <f ca="1">IF(Errorhandling!$C$42,INDEX(Calc!$J$99:$J$109,MATCH(Display!B1209,Calc!$K$99:$K$109,0),1),#N/A)</f>
        <v>#N/A</v>
      </c>
    </row>
    <row r="1210" spans="2:6" x14ac:dyDescent="0.2">
      <c r="B1210" s="6">
        <f t="shared" si="22"/>
        <v>1207</v>
      </c>
      <c r="C1210" s="81" t="e">
        <f ca="1">VLOOKUP(B1210,Calc!$K$66:$L$76,2,FALSE)</f>
        <v>#N/A</v>
      </c>
      <c r="D1210" s="81" t="e">
        <f ca="1">VLOOKUP(B1210,Calc!$K$77:$L$87,2,FALSE)</f>
        <v>#N/A</v>
      </c>
      <c r="E1210" s="523" t="e">
        <f ca="1">VLOOKUP(B1210,Calc!$K$88:$L$98,2,FALSE)</f>
        <v>#N/A</v>
      </c>
      <c r="F1210" s="523" t="e">
        <f ca="1">IF(Errorhandling!$C$42,INDEX(Calc!$J$99:$J$109,MATCH(Display!B1210,Calc!$K$99:$K$109,0),1),#N/A)</f>
        <v>#N/A</v>
      </c>
    </row>
    <row r="1211" spans="2:6" x14ac:dyDescent="0.2">
      <c r="B1211" s="6">
        <f t="shared" si="22"/>
        <v>1208</v>
      </c>
      <c r="C1211" s="81" t="e">
        <f ca="1">VLOOKUP(B1211,Calc!$K$66:$L$76,2,FALSE)</f>
        <v>#N/A</v>
      </c>
      <c r="D1211" s="81" t="e">
        <f ca="1">VLOOKUP(B1211,Calc!$K$77:$L$87,2,FALSE)</f>
        <v>#N/A</v>
      </c>
      <c r="E1211" s="523" t="e">
        <f ca="1">VLOOKUP(B1211,Calc!$K$88:$L$98,2,FALSE)</f>
        <v>#N/A</v>
      </c>
      <c r="F1211" s="523" t="e">
        <f ca="1">IF(Errorhandling!$C$42,INDEX(Calc!$J$99:$J$109,MATCH(Display!B1211,Calc!$K$99:$K$109,0),1),#N/A)</f>
        <v>#N/A</v>
      </c>
    </row>
    <row r="1212" spans="2:6" x14ac:dyDescent="0.2">
      <c r="B1212" s="6">
        <f t="shared" si="22"/>
        <v>1209</v>
      </c>
      <c r="C1212" s="81" t="e">
        <f ca="1">VLOOKUP(B1212,Calc!$K$66:$L$76,2,FALSE)</f>
        <v>#N/A</v>
      </c>
      <c r="D1212" s="81" t="e">
        <f ca="1">VLOOKUP(B1212,Calc!$K$77:$L$87,2,FALSE)</f>
        <v>#N/A</v>
      </c>
      <c r="E1212" s="523" t="e">
        <f ca="1">VLOOKUP(B1212,Calc!$K$88:$L$98,2,FALSE)</f>
        <v>#N/A</v>
      </c>
      <c r="F1212" s="523" t="e">
        <f ca="1">IF(Errorhandling!$C$42,INDEX(Calc!$J$99:$J$109,MATCH(Display!B1212,Calc!$K$99:$K$109,0),1),#N/A)</f>
        <v>#N/A</v>
      </c>
    </row>
    <row r="1213" spans="2:6" x14ac:dyDescent="0.2">
      <c r="B1213" s="6">
        <f t="shared" si="22"/>
        <v>1210</v>
      </c>
      <c r="C1213" s="81" t="e">
        <f ca="1">VLOOKUP(B1213,Calc!$K$66:$L$76,2,FALSE)</f>
        <v>#N/A</v>
      </c>
      <c r="D1213" s="81" t="e">
        <f ca="1">VLOOKUP(B1213,Calc!$K$77:$L$87,2,FALSE)</f>
        <v>#N/A</v>
      </c>
      <c r="E1213" s="523" t="e">
        <f ca="1">VLOOKUP(B1213,Calc!$K$88:$L$98,2,FALSE)</f>
        <v>#N/A</v>
      </c>
      <c r="F1213" s="523" t="e">
        <f ca="1">IF(Errorhandling!$C$42,INDEX(Calc!$J$99:$J$109,MATCH(Display!B1213,Calc!$K$99:$K$109,0),1),#N/A)</f>
        <v>#N/A</v>
      </c>
    </row>
    <row r="1214" spans="2:6" x14ac:dyDescent="0.2">
      <c r="B1214" s="6">
        <f t="shared" si="22"/>
        <v>1211</v>
      </c>
      <c r="C1214" s="81" t="e">
        <f ca="1">VLOOKUP(B1214,Calc!$K$66:$L$76,2,FALSE)</f>
        <v>#N/A</v>
      </c>
      <c r="D1214" s="81" t="e">
        <f ca="1">VLOOKUP(B1214,Calc!$K$77:$L$87,2,FALSE)</f>
        <v>#N/A</v>
      </c>
      <c r="E1214" s="523" t="e">
        <f ca="1">VLOOKUP(B1214,Calc!$K$88:$L$98,2,FALSE)</f>
        <v>#N/A</v>
      </c>
      <c r="F1214" s="523" t="e">
        <f ca="1">IF(Errorhandling!$C$42,INDEX(Calc!$J$99:$J$109,MATCH(Display!B1214,Calc!$K$99:$K$109,0),1),#N/A)</f>
        <v>#N/A</v>
      </c>
    </row>
    <row r="1215" spans="2:6" x14ac:dyDescent="0.2">
      <c r="B1215" s="6">
        <f t="shared" si="22"/>
        <v>1212</v>
      </c>
      <c r="C1215" s="81" t="e">
        <f ca="1">VLOOKUP(B1215,Calc!$K$66:$L$76,2,FALSE)</f>
        <v>#N/A</v>
      </c>
      <c r="D1215" s="81" t="e">
        <f ca="1">VLOOKUP(B1215,Calc!$K$77:$L$87,2,FALSE)</f>
        <v>#N/A</v>
      </c>
      <c r="E1215" s="523" t="e">
        <f ca="1">VLOOKUP(B1215,Calc!$K$88:$L$98,2,FALSE)</f>
        <v>#N/A</v>
      </c>
      <c r="F1215" s="523" t="e">
        <f ca="1">IF(Errorhandling!$C$42,INDEX(Calc!$J$99:$J$109,MATCH(Display!B1215,Calc!$K$99:$K$109,0),1),#N/A)</f>
        <v>#N/A</v>
      </c>
    </row>
    <row r="1216" spans="2:6" x14ac:dyDescent="0.2">
      <c r="B1216" s="6">
        <f t="shared" si="22"/>
        <v>1213</v>
      </c>
      <c r="C1216" s="81" t="e">
        <f ca="1">VLOOKUP(B1216,Calc!$K$66:$L$76,2,FALSE)</f>
        <v>#N/A</v>
      </c>
      <c r="D1216" s="81" t="e">
        <f ca="1">VLOOKUP(B1216,Calc!$K$77:$L$87,2,FALSE)</f>
        <v>#N/A</v>
      </c>
      <c r="E1216" s="523" t="e">
        <f ca="1">VLOOKUP(B1216,Calc!$K$88:$L$98,2,FALSE)</f>
        <v>#N/A</v>
      </c>
      <c r="F1216" s="523" t="e">
        <f ca="1">IF(Errorhandling!$C$42,INDEX(Calc!$J$99:$J$109,MATCH(Display!B1216,Calc!$K$99:$K$109,0),1),#N/A)</f>
        <v>#N/A</v>
      </c>
    </row>
    <row r="1217" spans="2:6" x14ac:dyDescent="0.2">
      <c r="B1217" s="6">
        <f t="shared" si="22"/>
        <v>1214</v>
      </c>
      <c r="C1217" s="81" t="e">
        <f ca="1">VLOOKUP(B1217,Calc!$K$66:$L$76,2,FALSE)</f>
        <v>#N/A</v>
      </c>
      <c r="D1217" s="81" t="e">
        <f ca="1">VLOOKUP(B1217,Calc!$K$77:$L$87,2,FALSE)</f>
        <v>#N/A</v>
      </c>
      <c r="E1217" s="523" t="e">
        <f ca="1">VLOOKUP(B1217,Calc!$K$88:$L$98,2,FALSE)</f>
        <v>#N/A</v>
      </c>
      <c r="F1217" s="523" t="e">
        <f ca="1">IF(Errorhandling!$C$42,INDEX(Calc!$J$99:$J$109,MATCH(Display!B1217,Calc!$K$99:$K$109,0),1),#N/A)</f>
        <v>#N/A</v>
      </c>
    </row>
    <row r="1218" spans="2:6" x14ac:dyDescent="0.2">
      <c r="B1218" s="6">
        <f t="shared" si="22"/>
        <v>1215</v>
      </c>
      <c r="C1218" s="81" t="e">
        <f ca="1">VLOOKUP(B1218,Calc!$K$66:$L$76,2,FALSE)</f>
        <v>#N/A</v>
      </c>
      <c r="D1218" s="81" t="e">
        <f ca="1">VLOOKUP(B1218,Calc!$K$77:$L$87,2,FALSE)</f>
        <v>#N/A</v>
      </c>
      <c r="E1218" s="523" t="e">
        <f ca="1">VLOOKUP(B1218,Calc!$K$88:$L$98,2,FALSE)</f>
        <v>#N/A</v>
      </c>
      <c r="F1218" s="523" t="e">
        <f ca="1">IF(Errorhandling!$C$42,INDEX(Calc!$J$99:$J$109,MATCH(Display!B1218,Calc!$K$99:$K$109,0),1),#N/A)</f>
        <v>#N/A</v>
      </c>
    </row>
    <row r="1219" spans="2:6" x14ac:dyDescent="0.2">
      <c r="B1219" s="6">
        <f t="shared" si="22"/>
        <v>1216</v>
      </c>
      <c r="C1219" s="81" t="e">
        <f ca="1">VLOOKUP(B1219,Calc!$K$66:$L$76,2,FALSE)</f>
        <v>#N/A</v>
      </c>
      <c r="D1219" s="81" t="e">
        <f ca="1">VLOOKUP(B1219,Calc!$K$77:$L$87,2,FALSE)</f>
        <v>#N/A</v>
      </c>
      <c r="E1219" s="523" t="e">
        <f ca="1">VLOOKUP(B1219,Calc!$K$88:$L$98,2,FALSE)</f>
        <v>#N/A</v>
      </c>
      <c r="F1219" s="523" t="e">
        <f ca="1">IF(Errorhandling!$C$42,INDEX(Calc!$J$99:$J$109,MATCH(Display!B1219,Calc!$K$99:$K$109,0),1),#N/A)</f>
        <v>#N/A</v>
      </c>
    </row>
    <row r="1220" spans="2:6" x14ac:dyDescent="0.2">
      <c r="B1220" s="6">
        <f t="shared" si="22"/>
        <v>1217</v>
      </c>
      <c r="C1220" s="81" t="e">
        <f ca="1">VLOOKUP(B1220,Calc!$K$66:$L$76,2,FALSE)</f>
        <v>#N/A</v>
      </c>
      <c r="D1220" s="81" t="e">
        <f ca="1">VLOOKUP(B1220,Calc!$K$77:$L$87,2,FALSE)</f>
        <v>#N/A</v>
      </c>
      <c r="E1220" s="523" t="e">
        <f ca="1">VLOOKUP(B1220,Calc!$K$88:$L$98,2,FALSE)</f>
        <v>#N/A</v>
      </c>
      <c r="F1220" s="523" t="e">
        <f ca="1">IF(Errorhandling!$C$42,INDEX(Calc!$J$99:$J$109,MATCH(Display!B1220,Calc!$K$99:$K$109,0),1),#N/A)</f>
        <v>#N/A</v>
      </c>
    </row>
    <row r="1221" spans="2:6" x14ac:dyDescent="0.2">
      <c r="B1221" s="6">
        <f t="shared" si="22"/>
        <v>1218</v>
      </c>
      <c r="C1221" s="81" t="e">
        <f ca="1">VLOOKUP(B1221,Calc!$K$66:$L$76,2,FALSE)</f>
        <v>#N/A</v>
      </c>
      <c r="D1221" s="81" t="e">
        <f ca="1">VLOOKUP(B1221,Calc!$K$77:$L$87,2,FALSE)</f>
        <v>#N/A</v>
      </c>
      <c r="E1221" s="523" t="e">
        <f ca="1">VLOOKUP(B1221,Calc!$K$88:$L$98,2,FALSE)</f>
        <v>#N/A</v>
      </c>
      <c r="F1221" s="523" t="e">
        <f ca="1">IF(Errorhandling!$C$42,INDEX(Calc!$J$99:$J$109,MATCH(Display!B1221,Calc!$K$99:$K$109,0),1),#N/A)</f>
        <v>#N/A</v>
      </c>
    </row>
    <row r="1222" spans="2:6" x14ac:dyDescent="0.2">
      <c r="B1222" s="6">
        <f t="shared" si="22"/>
        <v>1219</v>
      </c>
      <c r="C1222" s="81" t="e">
        <f ca="1">VLOOKUP(B1222,Calc!$K$66:$L$76,2,FALSE)</f>
        <v>#N/A</v>
      </c>
      <c r="D1222" s="81" t="e">
        <f ca="1">VLOOKUP(B1222,Calc!$K$77:$L$87,2,FALSE)</f>
        <v>#N/A</v>
      </c>
      <c r="E1222" s="523" t="e">
        <f ca="1">VLOOKUP(B1222,Calc!$K$88:$L$98,2,FALSE)</f>
        <v>#N/A</v>
      </c>
      <c r="F1222" s="523" t="e">
        <f ca="1">IF(Errorhandling!$C$42,INDEX(Calc!$J$99:$J$109,MATCH(Display!B1222,Calc!$K$99:$K$109,0),1),#N/A)</f>
        <v>#N/A</v>
      </c>
    </row>
    <row r="1223" spans="2:6" x14ac:dyDescent="0.2">
      <c r="B1223" s="6">
        <f t="shared" ref="B1223:B1286" si="23">1+B1222</f>
        <v>1220</v>
      </c>
      <c r="C1223" s="81" t="e">
        <f ca="1">VLOOKUP(B1223,Calc!$K$66:$L$76,2,FALSE)</f>
        <v>#N/A</v>
      </c>
      <c r="D1223" s="81" t="e">
        <f ca="1">VLOOKUP(B1223,Calc!$K$77:$L$87,2,FALSE)</f>
        <v>#N/A</v>
      </c>
      <c r="E1223" s="523" t="e">
        <f ca="1">VLOOKUP(B1223,Calc!$K$88:$L$98,2,FALSE)</f>
        <v>#N/A</v>
      </c>
      <c r="F1223" s="523" t="e">
        <f ca="1">IF(Errorhandling!$C$42,INDEX(Calc!$J$99:$J$109,MATCH(Display!B1223,Calc!$K$99:$K$109,0),1),#N/A)</f>
        <v>#N/A</v>
      </c>
    </row>
    <row r="1224" spans="2:6" x14ac:dyDescent="0.2">
      <c r="B1224" s="6">
        <f t="shared" si="23"/>
        <v>1221</v>
      </c>
      <c r="C1224" s="81" t="e">
        <f ca="1">VLOOKUP(B1224,Calc!$K$66:$L$76,2,FALSE)</f>
        <v>#N/A</v>
      </c>
      <c r="D1224" s="81" t="e">
        <f ca="1">VLOOKUP(B1224,Calc!$K$77:$L$87,2,FALSE)</f>
        <v>#N/A</v>
      </c>
      <c r="E1224" s="523" t="e">
        <f ca="1">VLOOKUP(B1224,Calc!$K$88:$L$98,2,FALSE)</f>
        <v>#N/A</v>
      </c>
      <c r="F1224" s="523" t="e">
        <f ca="1">IF(Errorhandling!$C$42,INDEX(Calc!$J$99:$J$109,MATCH(Display!B1224,Calc!$K$99:$K$109,0),1),#N/A)</f>
        <v>#N/A</v>
      </c>
    </row>
    <row r="1225" spans="2:6" x14ac:dyDescent="0.2">
      <c r="B1225" s="6">
        <f t="shared" si="23"/>
        <v>1222</v>
      </c>
      <c r="C1225" s="81" t="e">
        <f ca="1">VLOOKUP(B1225,Calc!$K$66:$L$76,2,FALSE)</f>
        <v>#N/A</v>
      </c>
      <c r="D1225" s="81" t="e">
        <f ca="1">VLOOKUP(B1225,Calc!$K$77:$L$87,2,FALSE)</f>
        <v>#N/A</v>
      </c>
      <c r="E1225" s="523" t="e">
        <f ca="1">VLOOKUP(B1225,Calc!$K$88:$L$98,2,FALSE)</f>
        <v>#N/A</v>
      </c>
      <c r="F1225" s="523" t="e">
        <f ca="1">IF(Errorhandling!$C$42,INDEX(Calc!$J$99:$J$109,MATCH(Display!B1225,Calc!$K$99:$K$109,0),1),#N/A)</f>
        <v>#N/A</v>
      </c>
    </row>
    <row r="1226" spans="2:6" x14ac:dyDescent="0.2">
      <c r="B1226" s="6">
        <f t="shared" si="23"/>
        <v>1223</v>
      </c>
      <c r="C1226" s="81" t="e">
        <f ca="1">VLOOKUP(B1226,Calc!$K$66:$L$76,2,FALSE)</f>
        <v>#N/A</v>
      </c>
      <c r="D1226" s="81" t="e">
        <f ca="1">VLOOKUP(B1226,Calc!$K$77:$L$87,2,FALSE)</f>
        <v>#N/A</v>
      </c>
      <c r="E1226" s="523" t="e">
        <f ca="1">VLOOKUP(B1226,Calc!$K$88:$L$98,2,FALSE)</f>
        <v>#N/A</v>
      </c>
      <c r="F1226" s="523" t="e">
        <f ca="1">IF(Errorhandling!$C$42,INDEX(Calc!$J$99:$J$109,MATCH(Display!B1226,Calc!$K$99:$K$109,0),1),#N/A)</f>
        <v>#N/A</v>
      </c>
    </row>
    <row r="1227" spans="2:6" x14ac:dyDescent="0.2">
      <c r="B1227" s="6">
        <f t="shared" si="23"/>
        <v>1224</v>
      </c>
      <c r="C1227" s="81" t="e">
        <f ca="1">VLOOKUP(B1227,Calc!$K$66:$L$76,2,FALSE)</f>
        <v>#N/A</v>
      </c>
      <c r="D1227" s="81" t="e">
        <f ca="1">VLOOKUP(B1227,Calc!$K$77:$L$87,2,FALSE)</f>
        <v>#N/A</v>
      </c>
      <c r="E1227" s="523" t="e">
        <f ca="1">VLOOKUP(B1227,Calc!$K$88:$L$98,2,FALSE)</f>
        <v>#N/A</v>
      </c>
      <c r="F1227" s="523" t="e">
        <f ca="1">IF(Errorhandling!$C$42,INDEX(Calc!$J$99:$J$109,MATCH(Display!B1227,Calc!$K$99:$K$109,0),1),#N/A)</f>
        <v>#N/A</v>
      </c>
    </row>
    <row r="1228" spans="2:6" x14ac:dyDescent="0.2">
      <c r="B1228" s="6">
        <f t="shared" si="23"/>
        <v>1225</v>
      </c>
      <c r="C1228" s="81" t="e">
        <f ca="1">VLOOKUP(B1228,Calc!$K$66:$L$76,2,FALSE)</f>
        <v>#N/A</v>
      </c>
      <c r="D1228" s="81" t="e">
        <f ca="1">VLOOKUP(B1228,Calc!$K$77:$L$87,2,FALSE)</f>
        <v>#N/A</v>
      </c>
      <c r="E1228" s="523" t="e">
        <f ca="1">VLOOKUP(B1228,Calc!$K$88:$L$98,2,FALSE)</f>
        <v>#N/A</v>
      </c>
      <c r="F1228" s="523" t="e">
        <f ca="1">IF(Errorhandling!$C$42,INDEX(Calc!$J$99:$J$109,MATCH(Display!B1228,Calc!$K$99:$K$109,0),1),#N/A)</f>
        <v>#N/A</v>
      </c>
    </row>
    <row r="1229" spans="2:6" x14ac:dyDescent="0.2">
      <c r="B1229" s="6">
        <f t="shared" si="23"/>
        <v>1226</v>
      </c>
      <c r="C1229" s="81" t="e">
        <f ca="1">VLOOKUP(B1229,Calc!$K$66:$L$76,2,FALSE)</f>
        <v>#N/A</v>
      </c>
      <c r="D1229" s="81" t="e">
        <f ca="1">VLOOKUP(B1229,Calc!$K$77:$L$87,2,FALSE)</f>
        <v>#N/A</v>
      </c>
      <c r="E1229" s="523" t="e">
        <f ca="1">VLOOKUP(B1229,Calc!$K$88:$L$98,2,FALSE)</f>
        <v>#N/A</v>
      </c>
      <c r="F1229" s="523" t="e">
        <f ca="1">IF(Errorhandling!$C$42,INDEX(Calc!$J$99:$J$109,MATCH(Display!B1229,Calc!$K$99:$K$109,0),1),#N/A)</f>
        <v>#N/A</v>
      </c>
    </row>
    <row r="1230" spans="2:6" x14ac:dyDescent="0.2">
      <c r="B1230" s="6">
        <f t="shared" si="23"/>
        <v>1227</v>
      </c>
      <c r="C1230" s="81" t="e">
        <f ca="1">VLOOKUP(B1230,Calc!$K$66:$L$76,2,FALSE)</f>
        <v>#N/A</v>
      </c>
      <c r="D1230" s="81" t="e">
        <f ca="1">VLOOKUP(B1230,Calc!$K$77:$L$87,2,FALSE)</f>
        <v>#N/A</v>
      </c>
      <c r="E1230" s="523" t="e">
        <f ca="1">VLOOKUP(B1230,Calc!$K$88:$L$98,2,FALSE)</f>
        <v>#N/A</v>
      </c>
      <c r="F1230" s="523" t="e">
        <f ca="1">IF(Errorhandling!$C$42,INDEX(Calc!$J$99:$J$109,MATCH(Display!B1230,Calc!$K$99:$K$109,0),1),#N/A)</f>
        <v>#N/A</v>
      </c>
    </row>
    <row r="1231" spans="2:6" x14ac:dyDescent="0.2">
      <c r="B1231" s="6">
        <f t="shared" si="23"/>
        <v>1228</v>
      </c>
      <c r="C1231" s="81" t="e">
        <f ca="1">VLOOKUP(B1231,Calc!$K$66:$L$76,2,FALSE)</f>
        <v>#N/A</v>
      </c>
      <c r="D1231" s="81" t="e">
        <f ca="1">VLOOKUP(B1231,Calc!$K$77:$L$87,2,FALSE)</f>
        <v>#N/A</v>
      </c>
      <c r="E1231" s="523" t="e">
        <f ca="1">VLOOKUP(B1231,Calc!$K$88:$L$98,2,FALSE)</f>
        <v>#N/A</v>
      </c>
      <c r="F1231" s="523" t="e">
        <f ca="1">IF(Errorhandling!$C$42,INDEX(Calc!$J$99:$J$109,MATCH(Display!B1231,Calc!$K$99:$K$109,0),1),#N/A)</f>
        <v>#N/A</v>
      </c>
    </row>
    <row r="1232" spans="2:6" x14ac:dyDescent="0.2">
      <c r="B1232" s="6">
        <f t="shared" si="23"/>
        <v>1229</v>
      </c>
      <c r="C1232" s="81" t="e">
        <f ca="1">VLOOKUP(B1232,Calc!$K$66:$L$76,2,FALSE)</f>
        <v>#N/A</v>
      </c>
      <c r="D1232" s="81" t="e">
        <f ca="1">VLOOKUP(B1232,Calc!$K$77:$L$87,2,FALSE)</f>
        <v>#N/A</v>
      </c>
      <c r="E1232" s="523" t="e">
        <f ca="1">VLOOKUP(B1232,Calc!$K$88:$L$98,2,FALSE)</f>
        <v>#N/A</v>
      </c>
      <c r="F1232" s="523" t="e">
        <f ca="1">IF(Errorhandling!$C$42,INDEX(Calc!$J$99:$J$109,MATCH(Display!B1232,Calc!$K$99:$K$109,0),1),#N/A)</f>
        <v>#N/A</v>
      </c>
    </row>
    <row r="1233" spans="2:6" x14ac:dyDescent="0.2">
      <c r="B1233" s="6">
        <f t="shared" si="23"/>
        <v>1230</v>
      </c>
      <c r="C1233" s="81" t="e">
        <f ca="1">VLOOKUP(B1233,Calc!$K$66:$L$76,2,FALSE)</f>
        <v>#N/A</v>
      </c>
      <c r="D1233" s="81" t="e">
        <f ca="1">VLOOKUP(B1233,Calc!$K$77:$L$87,2,FALSE)</f>
        <v>#N/A</v>
      </c>
      <c r="E1233" s="523" t="e">
        <f ca="1">VLOOKUP(B1233,Calc!$K$88:$L$98,2,FALSE)</f>
        <v>#N/A</v>
      </c>
      <c r="F1233" s="523" t="e">
        <f ca="1">IF(Errorhandling!$C$42,INDEX(Calc!$J$99:$J$109,MATCH(Display!B1233,Calc!$K$99:$K$109,0),1),#N/A)</f>
        <v>#N/A</v>
      </c>
    </row>
    <row r="1234" spans="2:6" x14ac:dyDescent="0.2">
      <c r="B1234" s="6">
        <f t="shared" si="23"/>
        <v>1231</v>
      </c>
      <c r="C1234" s="81" t="e">
        <f ca="1">VLOOKUP(B1234,Calc!$K$66:$L$76,2,FALSE)</f>
        <v>#N/A</v>
      </c>
      <c r="D1234" s="81" t="e">
        <f ca="1">VLOOKUP(B1234,Calc!$K$77:$L$87,2,FALSE)</f>
        <v>#N/A</v>
      </c>
      <c r="E1234" s="523" t="e">
        <f ca="1">VLOOKUP(B1234,Calc!$K$88:$L$98,2,FALSE)</f>
        <v>#N/A</v>
      </c>
      <c r="F1234" s="523" t="e">
        <f ca="1">IF(Errorhandling!$C$42,INDEX(Calc!$J$99:$J$109,MATCH(Display!B1234,Calc!$K$99:$K$109,0),1),#N/A)</f>
        <v>#N/A</v>
      </c>
    </row>
    <row r="1235" spans="2:6" x14ac:dyDescent="0.2">
      <c r="B1235" s="6">
        <f t="shared" si="23"/>
        <v>1232</v>
      </c>
      <c r="C1235" s="81" t="e">
        <f ca="1">VLOOKUP(B1235,Calc!$K$66:$L$76,2,FALSE)</f>
        <v>#N/A</v>
      </c>
      <c r="D1235" s="81" t="e">
        <f ca="1">VLOOKUP(B1235,Calc!$K$77:$L$87,2,FALSE)</f>
        <v>#N/A</v>
      </c>
      <c r="E1235" s="523" t="e">
        <f ca="1">VLOOKUP(B1235,Calc!$K$88:$L$98,2,FALSE)</f>
        <v>#N/A</v>
      </c>
      <c r="F1235" s="523" t="e">
        <f ca="1">IF(Errorhandling!$C$42,INDEX(Calc!$J$99:$J$109,MATCH(Display!B1235,Calc!$K$99:$K$109,0),1),#N/A)</f>
        <v>#N/A</v>
      </c>
    </row>
    <row r="1236" spans="2:6" x14ac:dyDescent="0.2">
      <c r="B1236" s="6">
        <f t="shared" si="23"/>
        <v>1233</v>
      </c>
      <c r="C1236" s="81" t="e">
        <f ca="1">VLOOKUP(B1236,Calc!$K$66:$L$76,2,FALSE)</f>
        <v>#N/A</v>
      </c>
      <c r="D1236" s="81" t="e">
        <f ca="1">VLOOKUP(B1236,Calc!$K$77:$L$87,2,FALSE)</f>
        <v>#N/A</v>
      </c>
      <c r="E1236" s="523" t="e">
        <f ca="1">VLOOKUP(B1236,Calc!$K$88:$L$98,2,FALSE)</f>
        <v>#N/A</v>
      </c>
      <c r="F1236" s="523" t="e">
        <f ca="1">IF(Errorhandling!$C$42,INDEX(Calc!$J$99:$J$109,MATCH(Display!B1236,Calc!$K$99:$K$109,0),1),#N/A)</f>
        <v>#N/A</v>
      </c>
    </row>
    <row r="1237" spans="2:6" x14ac:dyDescent="0.2">
      <c r="B1237" s="6">
        <f t="shared" si="23"/>
        <v>1234</v>
      </c>
      <c r="C1237" s="81" t="e">
        <f ca="1">VLOOKUP(B1237,Calc!$K$66:$L$76,2,FALSE)</f>
        <v>#N/A</v>
      </c>
      <c r="D1237" s="81" t="e">
        <f ca="1">VLOOKUP(B1237,Calc!$K$77:$L$87,2,FALSE)</f>
        <v>#N/A</v>
      </c>
      <c r="E1237" s="523" t="e">
        <f ca="1">VLOOKUP(B1237,Calc!$K$88:$L$98,2,FALSE)</f>
        <v>#N/A</v>
      </c>
      <c r="F1237" s="523" t="e">
        <f ca="1">IF(Errorhandling!$C$42,INDEX(Calc!$J$99:$J$109,MATCH(Display!B1237,Calc!$K$99:$K$109,0),1),#N/A)</f>
        <v>#N/A</v>
      </c>
    </row>
    <row r="1238" spans="2:6" x14ac:dyDescent="0.2">
      <c r="B1238" s="6">
        <f t="shared" si="23"/>
        <v>1235</v>
      </c>
      <c r="C1238" s="81" t="e">
        <f ca="1">VLOOKUP(B1238,Calc!$K$66:$L$76,2,FALSE)</f>
        <v>#N/A</v>
      </c>
      <c r="D1238" s="81" t="e">
        <f ca="1">VLOOKUP(B1238,Calc!$K$77:$L$87,2,FALSE)</f>
        <v>#N/A</v>
      </c>
      <c r="E1238" s="523" t="e">
        <f ca="1">VLOOKUP(B1238,Calc!$K$88:$L$98,2,FALSE)</f>
        <v>#N/A</v>
      </c>
      <c r="F1238" s="523" t="e">
        <f ca="1">IF(Errorhandling!$C$42,INDEX(Calc!$J$99:$J$109,MATCH(Display!B1238,Calc!$K$99:$K$109,0),1),#N/A)</f>
        <v>#N/A</v>
      </c>
    </row>
    <row r="1239" spans="2:6" x14ac:dyDescent="0.2">
      <c r="B1239" s="6">
        <f t="shared" si="23"/>
        <v>1236</v>
      </c>
      <c r="C1239" s="81" t="e">
        <f ca="1">VLOOKUP(B1239,Calc!$K$66:$L$76,2,FALSE)</f>
        <v>#N/A</v>
      </c>
      <c r="D1239" s="81" t="e">
        <f ca="1">VLOOKUP(B1239,Calc!$K$77:$L$87,2,FALSE)</f>
        <v>#N/A</v>
      </c>
      <c r="E1239" s="523" t="e">
        <f ca="1">VLOOKUP(B1239,Calc!$K$88:$L$98,2,FALSE)</f>
        <v>#N/A</v>
      </c>
      <c r="F1239" s="523" t="e">
        <f ca="1">IF(Errorhandling!$C$42,INDEX(Calc!$J$99:$J$109,MATCH(Display!B1239,Calc!$K$99:$K$109,0),1),#N/A)</f>
        <v>#N/A</v>
      </c>
    </row>
    <row r="1240" spans="2:6" x14ac:dyDescent="0.2">
      <c r="B1240" s="6">
        <f t="shared" si="23"/>
        <v>1237</v>
      </c>
      <c r="C1240" s="81" t="e">
        <f ca="1">VLOOKUP(B1240,Calc!$K$66:$L$76,2,FALSE)</f>
        <v>#N/A</v>
      </c>
      <c r="D1240" s="81" t="e">
        <f ca="1">VLOOKUP(B1240,Calc!$K$77:$L$87,2,FALSE)</f>
        <v>#N/A</v>
      </c>
      <c r="E1240" s="523" t="e">
        <f ca="1">VLOOKUP(B1240,Calc!$K$88:$L$98,2,FALSE)</f>
        <v>#N/A</v>
      </c>
      <c r="F1240" s="523" t="e">
        <f ca="1">IF(Errorhandling!$C$42,INDEX(Calc!$J$99:$J$109,MATCH(Display!B1240,Calc!$K$99:$K$109,0),1),#N/A)</f>
        <v>#N/A</v>
      </c>
    </row>
    <row r="1241" spans="2:6" x14ac:dyDescent="0.2">
      <c r="B1241" s="6">
        <f t="shared" si="23"/>
        <v>1238</v>
      </c>
      <c r="C1241" s="81" t="e">
        <f ca="1">VLOOKUP(B1241,Calc!$K$66:$L$76,2,FALSE)</f>
        <v>#N/A</v>
      </c>
      <c r="D1241" s="81" t="e">
        <f ca="1">VLOOKUP(B1241,Calc!$K$77:$L$87,2,FALSE)</f>
        <v>#N/A</v>
      </c>
      <c r="E1241" s="523" t="e">
        <f ca="1">VLOOKUP(B1241,Calc!$K$88:$L$98,2,FALSE)</f>
        <v>#N/A</v>
      </c>
      <c r="F1241" s="523" t="e">
        <f ca="1">IF(Errorhandling!$C$42,INDEX(Calc!$J$99:$J$109,MATCH(Display!B1241,Calc!$K$99:$K$109,0),1),#N/A)</f>
        <v>#N/A</v>
      </c>
    </row>
    <row r="1242" spans="2:6" x14ac:dyDescent="0.2">
      <c r="B1242" s="6">
        <f t="shared" si="23"/>
        <v>1239</v>
      </c>
      <c r="C1242" s="81" t="e">
        <f ca="1">VLOOKUP(B1242,Calc!$K$66:$L$76,2,FALSE)</f>
        <v>#N/A</v>
      </c>
      <c r="D1242" s="81" t="e">
        <f ca="1">VLOOKUP(B1242,Calc!$K$77:$L$87,2,FALSE)</f>
        <v>#N/A</v>
      </c>
      <c r="E1242" s="523" t="e">
        <f ca="1">VLOOKUP(B1242,Calc!$K$88:$L$98,2,FALSE)</f>
        <v>#N/A</v>
      </c>
      <c r="F1242" s="523" t="e">
        <f ca="1">IF(Errorhandling!$C$42,INDEX(Calc!$J$99:$J$109,MATCH(Display!B1242,Calc!$K$99:$K$109,0),1),#N/A)</f>
        <v>#N/A</v>
      </c>
    </row>
    <row r="1243" spans="2:6" x14ac:dyDescent="0.2">
      <c r="B1243" s="6">
        <f t="shared" si="23"/>
        <v>1240</v>
      </c>
      <c r="C1243" s="81" t="e">
        <f ca="1">VLOOKUP(B1243,Calc!$K$66:$L$76,2,FALSE)</f>
        <v>#N/A</v>
      </c>
      <c r="D1243" s="81" t="e">
        <f ca="1">VLOOKUP(B1243,Calc!$K$77:$L$87,2,FALSE)</f>
        <v>#N/A</v>
      </c>
      <c r="E1243" s="523" t="e">
        <f ca="1">VLOOKUP(B1243,Calc!$K$88:$L$98,2,FALSE)</f>
        <v>#N/A</v>
      </c>
      <c r="F1243" s="523" t="e">
        <f ca="1">IF(Errorhandling!$C$42,INDEX(Calc!$J$99:$J$109,MATCH(Display!B1243,Calc!$K$99:$K$109,0),1),#N/A)</f>
        <v>#N/A</v>
      </c>
    </row>
    <row r="1244" spans="2:6" x14ac:dyDescent="0.2">
      <c r="B1244" s="6">
        <f t="shared" si="23"/>
        <v>1241</v>
      </c>
      <c r="C1244" s="81" t="e">
        <f ca="1">VLOOKUP(B1244,Calc!$K$66:$L$76,2,FALSE)</f>
        <v>#N/A</v>
      </c>
      <c r="D1244" s="81" t="e">
        <f ca="1">VLOOKUP(B1244,Calc!$K$77:$L$87,2,FALSE)</f>
        <v>#N/A</v>
      </c>
      <c r="E1244" s="523" t="e">
        <f ca="1">VLOOKUP(B1244,Calc!$K$88:$L$98,2,FALSE)</f>
        <v>#N/A</v>
      </c>
      <c r="F1244" s="523" t="e">
        <f ca="1">IF(Errorhandling!$C$42,INDEX(Calc!$J$99:$J$109,MATCH(Display!B1244,Calc!$K$99:$K$109,0),1),#N/A)</f>
        <v>#N/A</v>
      </c>
    </row>
    <row r="1245" spans="2:6" x14ac:dyDescent="0.2">
      <c r="B1245" s="6">
        <f t="shared" si="23"/>
        <v>1242</v>
      </c>
      <c r="C1245" s="81" t="e">
        <f ca="1">VLOOKUP(B1245,Calc!$K$66:$L$76,2,FALSE)</f>
        <v>#N/A</v>
      </c>
      <c r="D1245" s="81" t="e">
        <f ca="1">VLOOKUP(B1245,Calc!$K$77:$L$87,2,FALSE)</f>
        <v>#N/A</v>
      </c>
      <c r="E1245" s="523" t="e">
        <f ca="1">VLOOKUP(B1245,Calc!$K$88:$L$98,2,FALSE)</f>
        <v>#N/A</v>
      </c>
      <c r="F1245" s="523" t="e">
        <f ca="1">IF(Errorhandling!$C$42,INDEX(Calc!$J$99:$J$109,MATCH(Display!B1245,Calc!$K$99:$K$109,0),1),#N/A)</f>
        <v>#N/A</v>
      </c>
    </row>
    <row r="1246" spans="2:6" x14ac:dyDescent="0.2">
      <c r="B1246" s="6">
        <f t="shared" si="23"/>
        <v>1243</v>
      </c>
      <c r="C1246" s="81" t="e">
        <f ca="1">VLOOKUP(B1246,Calc!$K$66:$L$76,2,FALSE)</f>
        <v>#N/A</v>
      </c>
      <c r="D1246" s="81" t="e">
        <f ca="1">VLOOKUP(B1246,Calc!$K$77:$L$87,2,FALSE)</f>
        <v>#N/A</v>
      </c>
      <c r="E1246" s="523" t="e">
        <f ca="1">VLOOKUP(B1246,Calc!$K$88:$L$98,2,FALSE)</f>
        <v>#N/A</v>
      </c>
      <c r="F1246" s="523" t="e">
        <f ca="1">IF(Errorhandling!$C$42,INDEX(Calc!$J$99:$J$109,MATCH(Display!B1246,Calc!$K$99:$K$109,0),1),#N/A)</f>
        <v>#N/A</v>
      </c>
    </row>
    <row r="1247" spans="2:6" x14ac:dyDescent="0.2">
      <c r="B1247" s="6">
        <f t="shared" si="23"/>
        <v>1244</v>
      </c>
      <c r="C1247" s="81" t="e">
        <f ca="1">VLOOKUP(B1247,Calc!$K$66:$L$76,2,FALSE)</f>
        <v>#N/A</v>
      </c>
      <c r="D1247" s="81" t="e">
        <f ca="1">VLOOKUP(B1247,Calc!$K$77:$L$87,2,FALSE)</f>
        <v>#N/A</v>
      </c>
      <c r="E1247" s="523" t="e">
        <f ca="1">VLOOKUP(B1247,Calc!$K$88:$L$98,2,FALSE)</f>
        <v>#N/A</v>
      </c>
      <c r="F1247" s="523" t="e">
        <f ca="1">IF(Errorhandling!$C$42,INDEX(Calc!$J$99:$J$109,MATCH(Display!B1247,Calc!$K$99:$K$109,0),1),#N/A)</f>
        <v>#N/A</v>
      </c>
    </row>
    <row r="1248" spans="2:6" x14ac:dyDescent="0.2">
      <c r="B1248" s="6">
        <f t="shared" si="23"/>
        <v>1245</v>
      </c>
      <c r="C1248" s="81" t="e">
        <f ca="1">VLOOKUP(B1248,Calc!$K$66:$L$76,2,FALSE)</f>
        <v>#N/A</v>
      </c>
      <c r="D1248" s="81" t="e">
        <f ca="1">VLOOKUP(B1248,Calc!$K$77:$L$87,2,FALSE)</f>
        <v>#N/A</v>
      </c>
      <c r="E1248" s="523" t="e">
        <f ca="1">VLOOKUP(B1248,Calc!$K$88:$L$98,2,FALSE)</f>
        <v>#N/A</v>
      </c>
      <c r="F1248" s="523" t="e">
        <f ca="1">IF(Errorhandling!$C$42,INDEX(Calc!$J$99:$J$109,MATCH(Display!B1248,Calc!$K$99:$K$109,0),1),#N/A)</f>
        <v>#N/A</v>
      </c>
    </row>
    <row r="1249" spans="2:6" x14ac:dyDescent="0.2">
      <c r="B1249" s="6">
        <f t="shared" si="23"/>
        <v>1246</v>
      </c>
      <c r="C1249" s="81" t="e">
        <f ca="1">VLOOKUP(B1249,Calc!$K$66:$L$76,2,FALSE)</f>
        <v>#N/A</v>
      </c>
      <c r="D1249" s="81" t="e">
        <f ca="1">VLOOKUP(B1249,Calc!$K$77:$L$87,2,FALSE)</f>
        <v>#N/A</v>
      </c>
      <c r="E1249" s="523" t="e">
        <f ca="1">VLOOKUP(B1249,Calc!$K$88:$L$98,2,FALSE)</f>
        <v>#N/A</v>
      </c>
      <c r="F1249" s="523" t="e">
        <f ca="1">IF(Errorhandling!$C$42,INDEX(Calc!$J$99:$J$109,MATCH(Display!B1249,Calc!$K$99:$K$109,0),1),#N/A)</f>
        <v>#N/A</v>
      </c>
    </row>
    <row r="1250" spans="2:6" x14ac:dyDescent="0.2">
      <c r="B1250" s="6">
        <f t="shared" si="23"/>
        <v>1247</v>
      </c>
      <c r="C1250" s="81" t="e">
        <f ca="1">VLOOKUP(B1250,Calc!$K$66:$L$76,2,FALSE)</f>
        <v>#N/A</v>
      </c>
      <c r="D1250" s="81" t="e">
        <f ca="1">VLOOKUP(B1250,Calc!$K$77:$L$87,2,FALSE)</f>
        <v>#N/A</v>
      </c>
      <c r="E1250" s="523" t="e">
        <f ca="1">VLOOKUP(B1250,Calc!$K$88:$L$98,2,FALSE)</f>
        <v>#N/A</v>
      </c>
      <c r="F1250" s="523" t="e">
        <f ca="1">IF(Errorhandling!$C$42,INDEX(Calc!$J$99:$J$109,MATCH(Display!B1250,Calc!$K$99:$K$109,0),1),#N/A)</f>
        <v>#N/A</v>
      </c>
    </row>
    <row r="1251" spans="2:6" x14ac:dyDescent="0.2">
      <c r="B1251" s="6">
        <f t="shared" si="23"/>
        <v>1248</v>
      </c>
      <c r="C1251" s="81" t="e">
        <f ca="1">VLOOKUP(B1251,Calc!$K$66:$L$76,2,FALSE)</f>
        <v>#N/A</v>
      </c>
      <c r="D1251" s="81" t="e">
        <f ca="1">VLOOKUP(B1251,Calc!$K$77:$L$87,2,FALSE)</f>
        <v>#N/A</v>
      </c>
      <c r="E1251" s="523" t="e">
        <f ca="1">VLOOKUP(B1251,Calc!$K$88:$L$98,2,FALSE)</f>
        <v>#N/A</v>
      </c>
      <c r="F1251" s="523" t="e">
        <f ca="1">IF(Errorhandling!$C$42,INDEX(Calc!$J$99:$J$109,MATCH(Display!B1251,Calc!$K$99:$K$109,0),1),#N/A)</f>
        <v>#N/A</v>
      </c>
    </row>
    <row r="1252" spans="2:6" x14ac:dyDescent="0.2">
      <c r="B1252" s="6">
        <f t="shared" si="23"/>
        <v>1249</v>
      </c>
      <c r="C1252" s="81" t="e">
        <f ca="1">VLOOKUP(B1252,Calc!$K$66:$L$76,2,FALSE)</f>
        <v>#N/A</v>
      </c>
      <c r="D1252" s="81" t="e">
        <f ca="1">VLOOKUP(B1252,Calc!$K$77:$L$87,2,FALSE)</f>
        <v>#N/A</v>
      </c>
      <c r="E1252" s="523" t="e">
        <f ca="1">VLOOKUP(B1252,Calc!$K$88:$L$98,2,FALSE)</f>
        <v>#N/A</v>
      </c>
      <c r="F1252" s="523" t="e">
        <f ca="1">IF(Errorhandling!$C$42,INDEX(Calc!$J$99:$J$109,MATCH(Display!B1252,Calc!$K$99:$K$109,0),1),#N/A)</f>
        <v>#N/A</v>
      </c>
    </row>
    <row r="1253" spans="2:6" x14ac:dyDescent="0.2">
      <c r="B1253" s="6">
        <f t="shared" si="23"/>
        <v>1250</v>
      </c>
      <c r="C1253" s="81" t="e">
        <f ca="1">VLOOKUP(B1253,Calc!$K$66:$L$76,2,FALSE)</f>
        <v>#N/A</v>
      </c>
      <c r="D1253" s="81" t="e">
        <f ca="1">VLOOKUP(B1253,Calc!$K$77:$L$87,2,FALSE)</f>
        <v>#N/A</v>
      </c>
      <c r="E1253" s="523" t="e">
        <f ca="1">VLOOKUP(B1253,Calc!$K$88:$L$98,2,FALSE)</f>
        <v>#N/A</v>
      </c>
      <c r="F1253" s="523" t="e">
        <f ca="1">IF(Errorhandling!$C$42,INDEX(Calc!$J$99:$J$109,MATCH(Display!B1253,Calc!$K$99:$K$109,0),1),#N/A)</f>
        <v>#N/A</v>
      </c>
    </row>
    <row r="1254" spans="2:6" x14ac:dyDescent="0.2">
      <c r="B1254" s="6">
        <f t="shared" si="23"/>
        <v>1251</v>
      </c>
      <c r="C1254" s="81" t="e">
        <f ca="1">VLOOKUP(B1254,Calc!$K$66:$L$76,2,FALSE)</f>
        <v>#N/A</v>
      </c>
      <c r="D1254" s="81" t="e">
        <f ca="1">VLOOKUP(B1254,Calc!$K$77:$L$87,2,FALSE)</f>
        <v>#N/A</v>
      </c>
      <c r="E1254" s="523" t="e">
        <f ca="1">VLOOKUP(B1254,Calc!$K$88:$L$98,2,FALSE)</f>
        <v>#N/A</v>
      </c>
      <c r="F1254" s="523" t="e">
        <f ca="1">IF(Errorhandling!$C$42,INDEX(Calc!$J$99:$J$109,MATCH(Display!B1254,Calc!$K$99:$K$109,0),1),#N/A)</f>
        <v>#N/A</v>
      </c>
    </row>
    <row r="1255" spans="2:6" x14ac:dyDescent="0.2">
      <c r="B1255" s="6">
        <f t="shared" si="23"/>
        <v>1252</v>
      </c>
      <c r="C1255" s="81" t="e">
        <f ca="1">VLOOKUP(B1255,Calc!$K$66:$L$76,2,FALSE)</f>
        <v>#N/A</v>
      </c>
      <c r="D1255" s="81" t="e">
        <f ca="1">VLOOKUP(B1255,Calc!$K$77:$L$87,2,FALSE)</f>
        <v>#N/A</v>
      </c>
      <c r="E1255" s="523" t="e">
        <f ca="1">VLOOKUP(B1255,Calc!$K$88:$L$98,2,FALSE)</f>
        <v>#N/A</v>
      </c>
      <c r="F1255" s="523" t="e">
        <f ca="1">IF(Errorhandling!$C$42,INDEX(Calc!$J$99:$J$109,MATCH(Display!B1255,Calc!$K$99:$K$109,0),1),#N/A)</f>
        <v>#N/A</v>
      </c>
    </row>
    <row r="1256" spans="2:6" x14ac:dyDescent="0.2">
      <c r="B1256" s="6">
        <f t="shared" si="23"/>
        <v>1253</v>
      </c>
      <c r="C1256" s="81" t="e">
        <f ca="1">VLOOKUP(B1256,Calc!$K$66:$L$76,2,FALSE)</f>
        <v>#N/A</v>
      </c>
      <c r="D1256" s="81" t="e">
        <f ca="1">VLOOKUP(B1256,Calc!$K$77:$L$87,2,FALSE)</f>
        <v>#N/A</v>
      </c>
      <c r="E1256" s="523" t="e">
        <f ca="1">VLOOKUP(B1256,Calc!$K$88:$L$98,2,FALSE)</f>
        <v>#N/A</v>
      </c>
      <c r="F1256" s="523" t="e">
        <f ca="1">IF(Errorhandling!$C$42,INDEX(Calc!$J$99:$J$109,MATCH(Display!B1256,Calc!$K$99:$K$109,0),1),#N/A)</f>
        <v>#N/A</v>
      </c>
    </row>
    <row r="1257" spans="2:6" x14ac:dyDescent="0.2">
      <c r="B1257" s="6">
        <f t="shared" si="23"/>
        <v>1254</v>
      </c>
      <c r="C1257" s="81" t="e">
        <f ca="1">VLOOKUP(B1257,Calc!$K$66:$L$76,2,FALSE)</f>
        <v>#N/A</v>
      </c>
      <c r="D1257" s="81" t="e">
        <f ca="1">VLOOKUP(B1257,Calc!$K$77:$L$87,2,FALSE)</f>
        <v>#N/A</v>
      </c>
      <c r="E1257" s="523" t="e">
        <f ca="1">VLOOKUP(B1257,Calc!$K$88:$L$98,2,FALSE)</f>
        <v>#N/A</v>
      </c>
      <c r="F1257" s="523" t="e">
        <f ca="1">IF(Errorhandling!$C$42,INDEX(Calc!$J$99:$J$109,MATCH(Display!B1257,Calc!$K$99:$K$109,0),1),#N/A)</f>
        <v>#N/A</v>
      </c>
    </row>
    <row r="1258" spans="2:6" x14ac:dyDescent="0.2">
      <c r="B1258" s="6">
        <f t="shared" si="23"/>
        <v>1255</v>
      </c>
      <c r="C1258" s="81" t="e">
        <f ca="1">VLOOKUP(B1258,Calc!$K$66:$L$76,2,FALSE)</f>
        <v>#N/A</v>
      </c>
      <c r="D1258" s="81" t="e">
        <f ca="1">VLOOKUP(B1258,Calc!$K$77:$L$87,2,FALSE)</f>
        <v>#N/A</v>
      </c>
      <c r="E1258" s="523" t="e">
        <f ca="1">VLOOKUP(B1258,Calc!$K$88:$L$98,2,FALSE)</f>
        <v>#N/A</v>
      </c>
      <c r="F1258" s="523" t="e">
        <f ca="1">IF(Errorhandling!$C$42,INDEX(Calc!$J$99:$J$109,MATCH(Display!B1258,Calc!$K$99:$K$109,0),1),#N/A)</f>
        <v>#N/A</v>
      </c>
    </row>
    <row r="1259" spans="2:6" x14ac:dyDescent="0.2">
      <c r="B1259" s="6">
        <f t="shared" si="23"/>
        <v>1256</v>
      </c>
      <c r="C1259" s="81" t="e">
        <f ca="1">VLOOKUP(B1259,Calc!$K$66:$L$76,2,FALSE)</f>
        <v>#N/A</v>
      </c>
      <c r="D1259" s="81" t="e">
        <f ca="1">VLOOKUP(B1259,Calc!$K$77:$L$87,2,FALSE)</f>
        <v>#N/A</v>
      </c>
      <c r="E1259" s="523" t="e">
        <f ca="1">VLOOKUP(B1259,Calc!$K$88:$L$98,2,FALSE)</f>
        <v>#N/A</v>
      </c>
      <c r="F1259" s="523" t="e">
        <f ca="1">IF(Errorhandling!$C$42,INDEX(Calc!$J$99:$J$109,MATCH(Display!B1259,Calc!$K$99:$K$109,0),1),#N/A)</f>
        <v>#N/A</v>
      </c>
    </row>
    <row r="1260" spans="2:6" x14ac:dyDescent="0.2">
      <c r="B1260" s="6">
        <f t="shared" si="23"/>
        <v>1257</v>
      </c>
      <c r="C1260" s="81" t="e">
        <f ca="1">VLOOKUP(B1260,Calc!$K$66:$L$76,2,FALSE)</f>
        <v>#N/A</v>
      </c>
      <c r="D1260" s="81" t="e">
        <f ca="1">VLOOKUP(B1260,Calc!$K$77:$L$87,2,FALSE)</f>
        <v>#N/A</v>
      </c>
      <c r="E1260" s="523" t="e">
        <f ca="1">VLOOKUP(B1260,Calc!$K$88:$L$98,2,FALSE)</f>
        <v>#N/A</v>
      </c>
      <c r="F1260" s="523" t="e">
        <f ca="1">IF(Errorhandling!$C$42,INDEX(Calc!$J$99:$J$109,MATCH(Display!B1260,Calc!$K$99:$K$109,0),1),#N/A)</f>
        <v>#N/A</v>
      </c>
    </row>
    <row r="1261" spans="2:6" x14ac:dyDescent="0.2">
      <c r="B1261" s="6">
        <f t="shared" si="23"/>
        <v>1258</v>
      </c>
      <c r="C1261" s="81" t="e">
        <f ca="1">VLOOKUP(B1261,Calc!$K$66:$L$76,2,FALSE)</f>
        <v>#N/A</v>
      </c>
      <c r="D1261" s="81" t="e">
        <f ca="1">VLOOKUP(B1261,Calc!$K$77:$L$87,2,FALSE)</f>
        <v>#N/A</v>
      </c>
      <c r="E1261" s="523" t="e">
        <f ca="1">VLOOKUP(B1261,Calc!$K$88:$L$98,2,FALSE)</f>
        <v>#N/A</v>
      </c>
      <c r="F1261" s="523" t="e">
        <f ca="1">IF(Errorhandling!$C$42,INDEX(Calc!$J$99:$J$109,MATCH(Display!B1261,Calc!$K$99:$K$109,0),1),#N/A)</f>
        <v>#N/A</v>
      </c>
    </row>
    <row r="1262" spans="2:6" x14ac:dyDescent="0.2">
      <c r="B1262" s="6">
        <f t="shared" si="23"/>
        <v>1259</v>
      </c>
      <c r="C1262" s="81" t="e">
        <f ca="1">VLOOKUP(B1262,Calc!$K$66:$L$76,2,FALSE)</f>
        <v>#N/A</v>
      </c>
      <c r="D1262" s="81" t="e">
        <f ca="1">VLOOKUP(B1262,Calc!$K$77:$L$87,2,FALSE)</f>
        <v>#N/A</v>
      </c>
      <c r="E1262" s="523" t="e">
        <f ca="1">VLOOKUP(B1262,Calc!$K$88:$L$98,2,FALSE)</f>
        <v>#N/A</v>
      </c>
      <c r="F1262" s="523" t="e">
        <f ca="1">IF(Errorhandling!$C$42,INDEX(Calc!$J$99:$J$109,MATCH(Display!B1262,Calc!$K$99:$K$109,0),1),#N/A)</f>
        <v>#N/A</v>
      </c>
    </row>
    <row r="1263" spans="2:6" x14ac:dyDescent="0.2">
      <c r="B1263" s="6">
        <f t="shared" si="23"/>
        <v>1260</v>
      </c>
      <c r="C1263" s="81" t="e">
        <f ca="1">VLOOKUP(B1263,Calc!$K$66:$L$76,2,FALSE)</f>
        <v>#N/A</v>
      </c>
      <c r="D1263" s="81" t="e">
        <f ca="1">VLOOKUP(B1263,Calc!$K$77:$L$87,2,FALSE)</f>
        <v>#N/A</v>
      </c>
      <c r="E1263" s="523" t="e">
        <f ca="1">VLOOKUP(B1263,Calc!$K$88:$L$98,2,FALSE)</f>
        <v>#N/A</v>
      </c>
      <c r="F1263" s="523" t="e">
        <f ca="1">IF(Errorhandling!$C$42,INDEX(Calc!$J$99:$J$109,MATCH(Display!B1263,Calc!$K$99:$K$109,0),1),#N/A)</f>
        <v>#N/A</v>
      </c>
    </row>
    <row r="1264" spans="2:6" x14ac:dyDescent="0.2">
      <c r="B1264" s="6">
        <f t="shared" si="23"/>
        <v>1261</v>
      </c>
      <c r="C1264" s="81" t="e">
        <f ca="1">VLOOKUP(B1264,Calc!$K$66:$L$76,2,FALSE)</f>
        <v>#N/A</v>
      </c>
      <c r="D1264" s="81" t="e">
        <f ca="1">VLOOKUP(B1264,Calc!$K$77:$L$87,2,FALSE)</f>
        <v>#N/A</v>
      </c>
      <c r="E1264" s="523" t="e">
        <f ca="1">VLOOKUP(B1264,Calc!$K$88:$L$98,2,FALSE)</f>
        <v>#N/A</v>
      </c>
      <c r="F1264" s="523" t="e">
        <f ca="1">IF(Errorhandling!$C$42,INDEX(Calc!$J$99:$J$109,MATCH(Display!B1264,Calc!$K$99:$K$109,0),1),#N/A)</f>
        <v>#N/A</v>
      </c>
    </row>
    <row r="1265" spans="2:6" x14ac:dyDescent="0.2">
      <c r="B1265" s="6">
        <f t="shared" si="23"/>
        <v>1262</v>
      </c>
      <c r="C1265" s="81" t="e">
        <f ca="1">VLOOKUP(B1265,Calc!$K$66:$L$76,2,FALSE)</f>
        <v>#N/A</v>
      </c>
      <c r="D1265" s="81" t="e">
        <f ca="1">VLOOKUP(B1265,Calc!$K$77:$L$87,2,FALSE)</f>
        <v>#N/A</v>
      </c>
      <c r="E1265" s="523" t="e">
        <f ca="1">VLOOKUP(B1265,Calc!$K$88:$L$98,2,FALSE)</f>
        <v>#N/A</v>
      </c>
      <c r="F1265" s="523" t="e">
        <f ca="1">IF(Errorhandling!$C$42,INDEX(Calc!$J$99:$J$109,MATCH(Display!B1265,Calc!$K$99:$K$109,0),1),#N/A)</f>
        <v>#N/A</v>
      </c>
    </row>
    <row r="1266" spans="2:6" x14ac:dyDescent="0.2">
      <c r="B1266" s="6">
        <f t="shared" si="23"/>
        <v>1263</v>
      </c>
      <c r="C1266" s="81" t="e">
        <f ca="1">VLOOKUP(B1266,Calc!$K$66:$L$76,2,FALSE)</f>
        <v>#N/A</v>
      </c>
      <c r="D1266" s="81" t="e">
        <f ca="1">VLOOKUP(B1266,Calc!$K$77:$L$87,2,FALSE)</f>
        <v>#N/A</v>
      </c>
      <c r="E1266" s="523" t="e">
        <f ca="1">VLOOKUP(B1266,Calc!$K$88:$L$98,2,FALSE)</f>
        <v>#N/A</v>
      </c>
      <c r="F1266" s="523" t="e">
        <f ca="1">IF(Errorhandling!$C$42,INDEX(Calc!$J$99:$J$109,MATCH(Display!B1266,Calc!$K$99:$K$109,0),1),#N/A)</f>
        <v>#N/A</v>
      </c>
    </row>
    <row r="1267" spans="2:6" x14ac:dyDescent="0.2">
      <c r="B1267" s="6">
        <f t="shared" si="23"/>
        <v>1264</v>
      </c>
      <c r="C1267" s="81" t="e">
        <f ca="1">VLOOKUP(B1267,Calc!$K$66:$L$76,2,FALSE)</f>
        <v>#N/A</v>
      </c>
      <c r="D1267" s="81" t="e">
        <f ca="1">VLOOKUP(B1267,Calc!$K$77:$L$87,2,FALSE)</f>
        <v>#N/A</v>
      </c>
      <c r="E1267" s="523" t="e">
        <f ca="1">VLOOKUP(B1267,Calc!$K$88:$L$98,2,FALSE)</f>
        <v>#N/A</v>
      </c>
      <c r="F1267" s="523" t="e">
        <f ca="1">IF(Errorhandling!$C$42,INDEX(Calc!$J$99:$J$109,MATCH(Display!B1267,Calc!$K$99:$K$109,0),1),#N/A)</f>
        <v>#N/A</v>
      </c>
    </row>
    <row r="1268" spans="2:6" x14ac:dyDescent="0.2">
      <c r="B1268" s="6">
        <f t="shared" si="23"/>
        <v>1265</v>
      </c>
      <c r="C1268" s="81" t="e">
        <f ca="1">VLOOKUP(B1268,Calc!$K$66:$L$76,2,FALSE)</f>
        <v>#N/A</v>
      </c>
      <c r="D1268" s="81" t="e">
        <f ca="1">VLOOKUP(B1268,Calc!$K$77:$L$87,2,FALSE)</f>
        <v>#N/A</v>
      </c>
      <c r="E1268" s="523" t="e">
        <f ca="1">VLOOKUP(B1268,Calc!$K$88:$L$98,2,FALSE)</f>
        <v>#N/A</v>
      </c>
      <c r="F1268" s="523" t="e">
        <f ca="1">IF(Errorhandling!$C$42,INDEX(Calc!$J$99:$J$109,MATCH(Display!B1268,Calc!$K$99:$K$109,0),1),#N/A)</f>
        <v>#N/A</v>
      </c>
    </row>
    <row r="1269" spans="2:6" x14ac:dyDescent="0.2">
      <c r="B1269" s="6">
        <f t="shared" si="23"/>
        <v>1266</v>
      </c>
      <c r="C1269" s="81" t="e">
        <f ca="1">VLOOKUP(B1269,Calc!$K$66:$L$76,2,FALSE)</f>
        <v>#N/A</v>
      </c>
      <c r="D1269" s="81" t="e">
        <f ca="1">VLOOKUP(B1269,Calc!$K$77:$L$87,2,FALSE)</f>
        <v>#N/A</v>
      </c>
      <c r="E1269" s="523" t="e">
        <f ca="1">VLOOKUP(B1269,Calc!$K$88:$L$98,2,FALSE)</f>
        <v>#N/A</v>
      </c>
      <c r="F1269" s="523" t="e">
        <f ca="1">IF(Errorhandling!$C$42,INDEX(Calc!$J$99:$J$109,MATCH(Display!B1269,Calc!$K$99:$K$109,0),1),#N/A)</f>
        <v>#N/A</v>
      </c>
    </row>
    <row r="1270" spans="2:6" x14ac:dyDescent="0.2">
      <c r="B1270" s="6">
        <f t="shared" si="23"/>
        <v>1267</v>
      </c>
      <c r="C1270" s="81" t="e">
        <f ca="1">VLOOKUP(B1270,Calc!$K$66:$L$76,2,FALSE)</f>
        <v>#N/A</v>
      </c>
      <c r="D1270" s="81" t="e">
        <f ca="1">VLOOKUP(B1270,Calc!$K$77:$L$87,2,FALSE)</f>
        <v>#N/A</v>
      </c>
      <c r="E1270" s="523" t="e">
        <f ca="1">VLOOKUP(B1270,Calc!$K$88:$L$98,2,FALSE)</f>
        <v>#N/A</v>
      </c>
      <c r="F1270" s="523" t="e">
        <f ca="1">IF(Errorhandling!$C$42,INDEX(Calc!$J$99:$J$109,MATCH(Display!B1270,Calc!$K$99:$K$109,0),1),#N/A)</f>
        <v>#N/A</v>
      </c>
    </row>
    <row r="1271" spans="2:6" x14ac:dyDescent="0.2">
      <c r="B1271" s="6">
        <f t="shared" si="23"/>
        <v>1268</v>
      </c>
      <c r="C1271" s="81" t="e">
        <f ca="1">VLOOKUP(B1271,Calc!$K$66:$L$76,2,FALSE)</f>
        <v>#N/A</v>
      </c>
      <c r="D1271" s="81" t="e">
        <f ca="1">VLOOKUP(B1271,Calc!$K$77:$L$87,2,FALSE)</f>
        <v>#N/A</v>
      </c>
      <c r="E1271" s="523" t="e">
        <f ca="1">VLOOKUP(B1271,Calc!$K$88:$L$98,2,FALSE)</f>
        <v>#N/A</v>
      </c>
      <c r="F1271" s="523" t="e">
        <f ca="1">IF(Errorhandling!$C$42,INDEX(Calc!$J$99:$J$109,MATCH(Display!B1271,Calc!$K$99:$K$109,0),1),#N/A)</f>
        <v>#N/A</v>
      </c>
    </row>
    <row r="1272" spans="2:6" x14ac:dyDescent="0.2">
      <c r="B1272" s="6">
        <f t="shared" si="23"/>
        <v>1269</v>
      </c>
      <c r="C1272" s="81" t="e">
        <f ca="1">VLOOKUP(B1272,Calc!$K$66:$L$76,2,FALSE)</f>
        <v>#N/A</v>
      </c>
      <c r="D1272" s="81" t="e">
        <f ca="1">VLOOKUP(B1272,Calc!$K$77:$L$87,2,FALSE)</f>
        <v>#N/A</v>
      </c>
      <c r="E1272" s="523" t="e">
        <f ca="1">VLOOKUP(B1272,Calc!$K$88:$L$98,2,FALSE)</f>
        <v>#N/A</v>
      </c>
      <c r="F1272" s="523" t="e">
        <f ca="1">IF(Errorhandling!$C$42,INDEX(Calc!$J$99:$J$109,MATCH(Display!B1272,Calc!$K$99:$K$109,0),1),#N/A)</f>
        <v>#N/A</v>
      </c>
    </row>
    <row r="1273" spans="2:6" x14ac:dyDescent="0.2">
      <c r="B1273" s="6">
        <f t="shared" si="23"/>
        <v>1270</v>
      </c>
      <c r="C1273" s="81" t="e">
        <f ca="1">VLOOKUP(B1273,Calc!$K$66:$L$76,2,FALSE)</f>
        <v>#N/A</v>
      </c>
      <c r="D1273" s="81" t="e">
        <f ca="1">VLOOKUP(B1273,Calc!$K$77:$L$87,2,FALSE)</f>
        <v>#N/A</v>
      </c>
      <c r="E1273" s="523" t="e">
        <f ca="1">VLOOKUP(B1273,Calc!$K$88:$L$98,2,FALSE)</f>
        <v>#N/A</v>
      </c>
      <c r="F1273" s="523" t="e">
        <f ca="1">IF(Errorhandling!$C$42,INDEX(Calc!$J$99:$J$109,MATCH(Display!B1273,Calc!$K$99:$K$109,0),1),#N/A)</f>
        <v>#N/A</v>
      </c>
    </row>
    <row r="1274" spans="2:6" x14ac:dyDescent="0.2">
      <c r="B1274" s="6">
        <f t="shared" si="23"/>
        <v>1271</v>
      </c>
      <c r="C1274" s="81" t="e">
        <f ca="1">VLOOKUP(B1274,Calc!$K$66:$L$76,2,FALSE)</f>
        <v>#N/A</v>
      </c>
      <c r="D1274" s="81" t="e">
        <f ca="1">VLOOKUP(B1274,Calc!$K$77:$L$87,2,FALSE)</f>
        <v>#N/A</v>
      </c>
      <c r="E1274" s="523" t="e">
        <f ca="1">VLOOKUP(B1274,Calc!$K$88:$L$98,2,FALSE)</f>
        <v>#N/A</v>
      </c>
      <c r="F1274" s="523" t="e">
        <f ca="1">IF(Errorhandling!$C$42,INDEX(Calc!$J$99:$J$109,MATCH(Display!B1274,Calc!$K$99:$K$109,0),1),#N/A)</f>
        <v>#N/A</v>
      </c>
    </row>
    <row r="1275" spans="2:6" x14ac:dyDescent="0.2">
      <c r="B1275" s="6">
        <f t="shared" si="23"/>
        <v>1272</v>
      </c>
      <c r="C1275" s="81" t="e">
        <f ca="1">VLOOKUP(B1275,Calc!$K$66:$L$76,2,FALSE)</f>
        <v>#N/A</v>
      </c>
      <c r="D1275" s="81" t="e">
        <f ca="1">VLOOKUP(B1275,Calc!$K$77:$L$87,2,FALSE)</f>
        <v>#N/A</v>
      </c>
      <c r="E1275" s="523" t="e">
        <f ca="1">VLOOKUP(B1275,Calc!$K$88:$L$98,2,FALSE)</f>
        <v>#N/A</v>
      </c>
      <c r="F1275" s="523" t="e">
        <f ca="1">IF(Errorhandling!$C$42,INDEX(Calc!$J$99:$J$109,MATCH(Display!B1275,Calc!$K$99:$K$109,0),1),#N/A)</f>
        <v>#N/A</v>
      </c>
    </row>
    <row r="1276" spans="2:6" x14ac:dyDescent="0.2">
      <c r="B1276" s="6">
        <f t="shared" si="23"/>
        <v>1273</v>
      </c>
      <c r="C1276" s="81" t="e">
        <f ca="1">VLOOKUP(B1276,Calc!$K$66:$L$76,2,FALSE)</f>
        <v>#N/A</v>
      </c>
      <c r="D1276" s="81" t="e">
        <f ca="1">VLOOKUP(B1276,Calc!$K$77:$L$87,2,FALSE)</f>
        <v>#N/A</v>
      </c>
      <c r="E1276" s="523" t="e">
        <f ca="1">VLOOKUP(B1276,Calc!$K$88:$L$98,2,FALSE)</f>
        <v>#N/A</v>
      </c>
      <c r="F1276" s="523" t="e">
        <f ca="1">IF(Errorhandling!$C$42,INDEX(Calc!$J$99:$J$109,MATCH(Display!B1276,Calc!$K$99:$K$109,0),1),#N/A)</f>
        <v>#N/A</v>
      </c>
    </row>
    <row r="1277" spans="2:6" x14ac:dyDescent="0.2">
      <c r="B1277" s="6">
        <f t="shared" si="23"/>
        <v>1274</v>
      </c>
      <c r="C1277" s="81" t="e">
        <f ca="1">VLOOKUP(B1277,Calc!$K$66:$L$76,2,FALSE)</f>
        <v>#N/A</v>
      </c>
      <c r="D1277" s="81" t="e">
        <f ca="1">VLOOKUP(B1277,Calc!$K$77:$L$87,2,FALSE)</f>
        <v>#N/A</v>
      </c>
      <c r="E1277" s="523" t="e">
        <f ca="1">VLOOKUP(B1277,Calc!$K$88:$L$98,2,FALSE)</f>
        <v>#N/A</v>
      </c>
      <c r="F1277" s="523" t="e">
        <f ca="1">IF(Errorhandling!$C$42,INDEX(Calc!$J$99:$J$109,MATCH(Display!B1277,Calc!$K$99:$K$109,0),1),#N/A)</f>
        <v>#N/A</v>
      </c>
    </row>
    <row r="1278" spans="2:6" x14ac:dyDescent="0.2">
      <c r="B1278" s="6">
        <f t="shared" si="23"/>
        <v>1275</v>
      </c>
      <c r="C1278" s="81" t="e">
        <f ca="1">VLOOKUP(B1278,Calc!$K$66:$L$76,2,FALSE)</f>
        <v>#N/A</v>
      </c>
      <c r="D1278" s="81" t="e">
        <f ca="1">VLOOKUP(B1278,Calc!$K$77:$L$87,2,FALSE)</f>
        <v>#N/A</v>
      </c>
      <c r="E1278" s="523" t="e">
        <f ca="1">VLOOKUP(B1278,Calc!$K$88:$L$98,2,FALSE)</f>
        <v>#N/A</v>
      </c>
      <c r="F1278" s="523" t="e">
        <f ca="1">IF(Errorhandling!$C$42,INDEX(Calc!$J$99:$J$109,MATCH(Display!B1278,Calc!$K$99:$K$109,0),1),#N/A)</f>
        <v>#N/A</v>
      </c>
    </row>
    <row r="1279" spans="2:6" x14ac:dyDescent="0.2">
      <c r="B1279" s="6">
        <f t="shared" si="23"/>
        <v>1276</v>
      </c>
      <c r="C1279" s="81" t="e">
        <f ca="1">VLOOKUP(B1279,Calc!$K$66:$L$76,2,FALSE)</f>
        <v>#N/A</v>
      </c>
      <c r="D1279" s="81" t="e">
        <f ca="1">VLOOKUP(B1279,Calc!$K$77:$L$87,2,FALSE)</f>
        <v>#N/A</v>
      </c>
      <c r="E1279" s="523" t="e">
        <f ca="1">VLOOKUP(B1279,Calc!$K$88:$L$98,2,FALSE)</f>
        <v>#N/A</v>
      </c>
      <c r="F1279" s="523" t="e">
        <f ca="1">IF(Errorhandling!$C$42,INDEX(Calc!$J$99:$J$109,MATCH(Display!B1279,Calc!$K$99:$K$109,0),1),#N/A)</f>
        <v>#N/A</v>
      </c>
    </row>
    <row r="1280" spans="2:6" x14ac:dyDescent="0.2">
      <c r="B1280" s="6">
        <f t="shared" si="23"/>
        <v>1277</v>
      </c>
      <c r="C1280" s="81" t="e">
        <f ca="1">VLOOKUP(B1280,Calc!$K$66:$L$76,2,FALSE)</f>
        <v>#N/A</v>
      </c>
      <c r="D1280" s="81" t="e">
        <f ca="1">VLOOKUP(B1280,Calc!$K$77:$L$87,2,FALSE)</f>
        <v>#N/A</v>
      </c>
      <c r="E1280" s="523" t="e">
        <f ca="1">VLOOKUP(B1280,Calc!$K$88:$L$98,2,FALSE)</f>
        <v>#N/A</v>
      </c>
      <c r="F1280" s="523" t="e">
        <f ca="1">IF(Errorhandling!$C$42,INDEX(Calc!$J$99:$J$109,MATCH(Display!B1280,Calc!$K$99:$K$109,0),1),#N/A)</f>
        <v>#N/A</v>
      </c>
    </row>
    <row r="1281" spans="2:6" x14ac:dyDescent="0.2">
      <c r="B1281" s="6">
        <f t="shared" si="23"/>
        <v>1278</v>
      </c>
      <c r="C1281" s="81" t="e">
        <f ca="1">VLOOKUP(B1281,Calc!$K$66:$L$76,2,FALSE)</f>
        <v>#N/A</v>
      </c>
      <c r="D1281" s="81" t="e">
        <f ca="1">VLOOKUP(B1281,Calc!$K$77:$L$87,2,FALSE)</f>
        <v>#N/A</v>
      </c>
      <c r="E1281" s="523" t="e">
        <f ca="1">VLOOKUP(B1281,Calc!$K$88:$L$98,2,FALSE)</f>
        <v>#N/A</v>
      </c>
      <c r="F1281" s="523" t="e">
        <f ca="1">IF(Errorhandling!$C$42,INDEX(Calc!$J$99:$J$109,MATCH(Display!B1281,Calc!$K$99:$K$109,0),1),#N/A)</f>
        <v>#N/A</v>
      </c>
    </row>
    <row r="1282" spans="2:6" x14ac:dyDescent="0.2">
      <c r="B1282" s="6">
        <f t="shared" si="23"/>
        <v>1279</v>
      </c>
      <c r="C1282" s="81" t="e">
        <f ca="1">VLOOKUP(B1282,Calc!$K$66:$L$76,2,FALSE)</f>
        <v>#N/A</v>
      </c>
      <c r="D1282" s="81" t="e">
        <f ca="1">VLOOKUP(B1282,Calc!$K$77:$L$87,2,FALSE)</f>
        <v>#N/A</v>
      </c>
      <c r="E1282" s="523" t="e">
        <f ca="1">VLOOKUP(B1282,Calc!$K$88:$L$98,2,FALSE)</f>
        <v>#N/A</v>
      </c>
      <c r="F1282" s="523" t="e">
        <f ca="1">IF(Errorhandling!$C$42,INDEX(Calc!$J$99:$J$109,MATCH(Display!B1282,Calc!$K$99:$K$109,0),1),#N/A)</f>
        <v>#N/A</v>
      </c>
    </row>
    <row r="1283" spans="2:6" x14ac:dyDescent="0.2">
      <c r="B1283" s="6">
        <f t="shared" si="23"/>
        <v>1280</v>
      </c>
      <c r="C1283" s="81" t="e">
        <f ca="1">VLOOKUP(B1283,Calc!$K$66:$L$76,2,FALSE)</f>
        <v>#N/A</v>
      </c>
      <c r="D1283" s="81" t="e">
        <f ca="1">VLOOKUP(B1283,Calc!$K$77:$L$87,2,FALSE)</f>
        <v>#N/A</v>
      </c>
      <c r="E1283" s="523" t="e">
        <f ca="1">VLOOKUP(B1283,Calc!$K$88:$L$98,2,FALSE)</f>
        <v>#N/A</v>
      </c>
      <c r="F1283" s="523" t="e">
        <f ca="1">IF(Errorhandling!$C$42,INDEX(Calc!$J$99:$J$109,MATCH(Display!B1283,Calc!$K$99:$K$109,0),1),#N/A)</f>
        <v>#N/A</v>
      </c>
    </row>
    <row r="1284" spans="2:6" x14ac:dyDescent="0.2">
      <c r="B1284" s="6">
        <f t="shared" si="23"/>
        <v>1281</v>
      </c>
      <c r="C1284" s="81" t="e">
        <f ca="1">VLOOKUP(B1284,Calc!$K$66:$L$76,2,FALSE)</f>
        <v>#N/A</v>
      </c>
      <c r="D1284" s="81" t="e">
        <f ca="1">VLOOKUP(B1284,Calc!$K$77:$L$87,2,FALSE)</f>
        <v>#N/A</v>
      </c>
      <c r="E1284" s="523" t="e">
        <f ca="1">VLOOKUP(B1284,Calc!$K$88:$L$98,2,FALSE)</f>
        <v>#N/A</v>
      </c>
      <c r="F1284" s="523" t="e">
        <f ca="1">IF(Errorhandling!$C$42,INDEX(Calc!$J$99:$J$109,MATCH(Display!B1284,Calc!$K$99:$K$109,0),1),#N/A)</f>
        <v>#N/A</v>
      </c>
    </row>
    <row r="1285" spans="2:6" x14ac:dyDescent="0.2">
      <c r="B1285" s="6">
        <f t="shared" si="23"/>
        <v>1282</v>
      </c>
      <c r="C1285" s="81" t="e">
        <f ca="1">VLOOKUP(B1285,Calc!$K$66:$L$76,2,FALSE)</f>
        <v>#N/A</v>
      </c>
      <c r="D1285" s="81" t="e">
        <f ca="1">VLOOKUP(B1285,Calc!$K$77:$L$87,2,FALSE)</f>
        <v>#N/A</v>
      </c>
      <c r="E1285" s="523" t="e">
        <f ca="1">VLOOKUP(B1285,Calc!$K$88:$L$98,2,FALSE)</f>
        <v>#N/A</v>
      </c>
      <c r="F1285" s="523" t="e">
        <f ca="1">IF(Errorhandling!$C$42,INDEX(Calc!$J$99:$J$109,MATCH(Display!B1285,Calc!$K$99:$K$109,0),1),#N/A)</f>
        <v>#N/A</v>
      </c>
    </row>
    <row r="1286" spans="2:6" x14ac:dyDescent="0.2">
      <c r="B1286" s="6">
        <f t="shared" si="23"/>
        <v>1283</v>
      </c>
      <c r="C1286" s="81" t="e">
        <f ca="1">VLOOKUP(B1286,Calc!$K$66:$L$76,2,FALSE)</f>
        <v>#N/A</v>
      </c>
      <c r="D1286" s="81" t="e">
        <f ca="1">VLOOKUP(B1286,Calc!$K$77:$L$87,2,FALSE)</f>
        <v>#N/A</v>
      </c>
      <c r="E1286" s="523" t="e">
        <f ca="1">VLOOKUP(B1286,Calc!$K$88:$L$98,2,FALSE)</f>
        <v>#N/A</v>
      </c>
      <c r="F1286" s="523" t="e">
        <f ca="1">IF(Errorhandling!$C$42,INDEX(Calc!$J$99:$J$109,MATCH(Display!B1286,Calc!$K$99:$K$109,0),1),#N/A)</f>
        <v>#N/A</v>
      </c>
    </row>
    <row r="1287" spans="2:6" x14ac:dyDescent="0.2">
      <c r="B1287" s="6">
        <f t="shared" ref="B1287:B1350" si="24">1+B1286</f>
        <v>1284</v>
      </c>
      <c r="C1287" s="81" t="e">
        <f ca="1">VLOOKUP(B1287,Calc!$K$66:$L$76,2,FALSE)</f>
        <v>#N/A</v>
      </c>
      <c r="D1287" s="81" t="e">
        <f ca="1">VLOOKUP(B1287,Calc!$K$77:$L$87,2,FALSE)</f>
        <v>#N/A</v>
      </c>
      <c r="E1287" s="523" t="e">
        <f ca="1">VLOOKUP(B1287,Calc!$K$88:$L$98,2,FALSE)</f>
        <v>#N/A</v>
      </c>
      <c r="F1287" s="523" t="e">
        <f ca="1">IF(Errorhandling!$C$42,INDEX(Calc!$J$99:$J$109,MATCH(Display!B1287,Calc!$K$99:$K$109,0),1),#N/A)</f>
        <v>#N/A</v>
      </c>
    </row>
    <row r="1288" spans="2:6" x14ac:dyDescent="0.2">
      <c r="B1288" s="6">
        <f t="shared" si="24"/>
        <v>1285</v>
      </c>
      <c r="C1288" s="81" t="e">
        <f ca="1">VLOOKUP(B1288,Calc!$K$66:$L$76,2,FALSE)</f>
        <v>#N/A</v>
      </c>
      <c r="D1288" s="81" t="e">
        <f ca="1">VLOOKUP(B1288,Calc!$K$77:$L$87,2,FALSE)</f>
        <v>#N/A</v>
      </c>
      <c r="E1288" s="523" t="e">
        <f ca="1">VLOOKUP(B1288,Calc!$K$88:$L$98,2,FALSE)</f>
        <v>#N/A</v>
      </c>
      <c r="F1288" s="523" t="e">
        <f ca="1">IF(Errorhandling!$C$42,INDEX(Calc!$J$99:$J$109,MATCH(Display!B1288,Calc!$K$99:$K$109,0),1),#N/A)</f>
        <v>#N/A</v>
      </c>
    </row>
    <row r="1289" spans="2:6" x14ac:dyDescent="0.2">
      <c r="B1289" s="6">
        <f t="shared" si="24"/>
        <v>1286</v>
      </c>
      <c r="C1289" s="81" t="e">
        <f ca="1">VLOOKUP(B1289,Calc!$K$66:$L$76,2,FALSE)</f>
        <v>#N/A</v>
      </c>
      <c r="D1289" s="81" t="e">
        <f ca="1">VLOOKUP(B1289,Calc!$K$77:$L$87,2,FALSE)</f>
        <v>#N/A</v>
      </c>
      <c r="E1289" s="523" t="e">
        <f ca="1">VLOOKUP(B1289,Calc!$K$88:$L$98,2,FALSE)</f>
        <v>#N/A</v>
      </c>
      <c r="F1289" s="523" t="e">
        <f ca="1">IF(Errorhandling!$C$42,INDEX(Calc!$J$99:$J$109,MATCH(Display!B1289,Calc!$K$99:$K$109,0),1),#N/A)</f>
        <v>#N/A</v>
      </c>
    </row>
    <row r="1290" spans="2:6" x14ac:dyDescent="0.2">
      <c r="B1290" s="6">
        <f t="shared" si="24"/>
        <v>1287</v>
      </c>
      <c r="C1290" s="81" t="e">
        <f ca="1">VLOOKUP(B1290,Calc!$K$66:$L$76,2,FALSE)</f>
        <v>#N/A</v>
      </c>
      <c r="D1290" s="81" t="e">
        <f ca="1">VLOOKUP(B1290,Calc!$K$77:$L$87,2,FALSE)</f>
        <v>#N/A</v>
      </c>
      <c r="E1290" s="523" t="e">
        <f ca="1">VLOOKUP(B1290,Calc!$K$88:$L$98,2,FALSE)</f>
        <v>#N/A</v>
      </c>
      <c r="F1290" s="523" t="e">
        <f ca="1">IF(Errorhandling!$C$42,INDEX(Calc!$J$99:$J$109,MATCH(Display!B1290,Calc!$K$99:$K$109,0),1),#N/A)</f>
        <v>#N/A</v>
      </c>
    </row>
    <row r="1291" spans="2:6" x14ac:dyDescent="0.2">
      <c r="B1291" s="6">
        <f t="shared" si="24"/>
        <v>1288</v>
      </c>
      <c r="C1291" s="81" t="e">
        <f ca="1">VLOOKUP(B1291,Calc!$K$66:$L$76,2,FALSE)</f>
        <v>#N/A</v>
      </c>
      <c r="D1291" s="81" t="e">
        <f ca="1">VLOOKUP(B1291,Calc!$K$77:$L$87,2,FALSE)</f>
        <v>#N/A</v>
      </c>
      <c r="E1291" s="523" t="e">
        <f ca="1">VLOOKUP(B1291,Calc!$K$88:$L$98,2,FALSE)</f>
        <v>#N/A</v>
      </c>
      <c r="F1291" s="523" t="e">
        <f ca="1">IF(Errorhandling!$C$42,INDEX(Calc!$J$99:$J$109,MATCH(Display!B1291,Calc!$K$99:$K$109,0),1),#N/A)</f>
        <v>#N/A</v>
      </c>
    </row>
    <row r="1292" spans="2:6" x14ac:dyDescent="0.2">
      <c r="B1292" s="6">
        <f t="shared" si="24"/>
        <v>1289</v>
      </c>
      <c r="C1292" s="81" t="e">
        <f ca="1">VLOOKUP(B1292,Calc!$K$66:$L$76,2,FALSE)</f>
        <v>#N/A</v>
      </c>
      <c r="D1292" s="81" t="e">
        <f ca="1">VLOOKUP(B1292,Calc!$K$77:$L$87,2,FALSE)</f>
        <v>#N/A</v>
      </c>
      <c r="E1292" s="523" t="e">
        <f ca="1">VLOOKUP(B1292,Calc!$K$88:$L$98,2,FALSE)</f>
        <v>#N/A</v>
      </c>
      <c r="F1292" s="523" t="e">
        <f ca="1">IF(Errorhandling!$C$42,INDEX(Calc!$J$99:$J$109,MATCH(Display!B1292,Calc!$K$99:$K$109,0),1),#N/A)</f>
        <v>#N/A</v>
      </c>
    </row>
    <row r="1293" spans="2:6" x14ac:dyDescent="0.2">
      <c r="B1293" s="6">
        <f t="shared" si="24"/>
        <v>1290</v>
      </c>
      <c r="C1293" s="81" t="e">
        <f ca="1">VLOOKUP(B1293,Calc!$K$66:$L$76,2,FALSE)</f>
        <v>#N/A</v>
      </c>
      <c r="D1293" s="81" t="e">
        <f ca="1">VLOOKUP(B1293,Calc!$K$77:$L$87,2,FALSE)</f>
        <v>#N/A</v>
      </c>
      <c r="E1293" s="523" t="e">
        <f ca="1">VLOOKUP(B1293,Calc!$K$88:$L$98,2,FALSE)</f>
        <v>#N/A</v>
      </c>
      <c r="F1293" s="523" t="e">
        <f ca="1">IF(Errorhandling!$C$42,INDEX(Calc!$J$99:$J$109,MATCH(Display!B1293,Calc!$K$99:$K$109,0),1),#N/A)</f>
        <v>#N/A</v>
      </c>
    </row>
    <row r="1294" spans="2:6" x14ac:dyDescent="0.2">
      <c r="B1294" s="6">
        <f t="shared" si="24"/>
        <v>1291</v>
      </c>
      <c r="C1294" s="81" t="e">
        <f ca="1">VLOOKUP(B1294,Calc!$K$66:$L$76,2,FALSE)</f>
        <v>#N/A</v>
      </c>
      <c r="D1294" s="81" t="e">
        <f ca="1">VLOOKUP(B1294,Calc!$K$77:$L$87,2,FALSE)</f>
        <v>#N/A</v>
      </c>
      <c r="E1294" s="523" t="e">
        <f ca="1">VLOOKUP(B1294,Calc!$K$88:$L$98,2,FALSE)</f>
        <v>#N/A</v>
      </c>
      <c r="F1294" s="523" t="e">
        <f ca="1">IF(Errorhandling!$C$42,INDEX(Calc!$J$99:$J$109,MATCH(Display!B1294,Calc!$K$99:$K$109,0),1),#N/A)</f>
        <v>#N/A</v>
      </c>
    </row>
    <row r="1295" spans="2:6" x14ac:dyDescent="0.2">
      <c r="B1295" s="6">
        <f t="shared" si="24"/>
        <v>1292</v>
      </c>
      <c r="C1295" s="81" t="e">
        <f ca="1">VLOOKUP(B1295,Calc!$K$66:$L$76,2,FALSE)</f>
        <v>#N/A</v>
      </c>
      <c r="D1295" s="81" t="e">
        <f ca="1">VLOOKUP(B1295,Calc!$K$77:$L$87,2,FALSE)</f>
        <v>#N/A</v>
      </c>
      <c r="E1295" s="523" t="e">
        <f ca="1">VLOOKUP(B1295,Calc!$K$88:$L$98,2,FALSE)</f>
        <v>#N/A</v>
      </c>
      <c r="F1295" s="523" t="e">
        <f ca="1">IF(Errorhandling!$C$42,INDEX(Calc!$J$99:$J$109,MATCH(Display!B1295,Calc!$K$99:$K$109,0),1),#N/A)</f>
        <v>#N/A</v>
      </c>
    </row>
    <row r="1296" spans="2:6" x14ac:dyDescent="0.2">
      <c r="B1296" s="6">
        <f t="shared" si="24"/>
        <v>1293</v>
      </c>
      <c r="C1296" s="81" t="e">
        <f ca="1">VLOOKUP(B1296,Calc!$K$66:$L$76,2,FALSE)</f>
        <v>#N/A</v>
      </c>
      <c r="D1296" s="81" t="e">
        <f ca="1">VLOOKUP(B1296,Calc!$K$77:$L$87,2,FALSE)</f>
        <v>#N/A</v>
      </c>
      <c r="E1296" s="523" t="e">
        <f ca="1">VLOOKUP(B1296,Calc!$K$88:$L$98,2,FALSE)</f>
        <v>#N/A</v>
      </c>
      <c r="F1296" s="523" t="e">
        <f ca="1">IF(Errorhandling!$C$42,INDEX(Calc!$J$99:$J$109,MATCH(Display!B1296,Calc!$K$99:$K$109,0),1),#N/A)</f>
        <v>#N/A</v>
      </c>
    </row>
    <row r="1297" spans="2:6" x14ac:dyDescent="0.2">
      <c r="B1297" s="6">
        <f t="shared" si="24"/>
        <v>1294</v>
      </c>
      <c r="C1297" s="81" t="e">
        <f ca="1">VLOOKUP(B1297,Calc!$K$66:$L$76,2,FALSE)</f>
        <v>#N/A</v>
      </c>
      <c r="D1297" s="81" t="e">
        <f ca="1">VLOOKUP(B1297,Calc!$K$77:$L$87,2,FALSE)</f>
        <v>#N/A</v>
      </c>
      <c r="E1297" s="523" t="e">
        <f ca="1">VLOOKUP(B1297,Calc!$K$88:$L$98,2,FALSE)</f>
        <v>#N/A</v>
      </c>
      <c r="F1297" s="523" t="e">
        <f ca="1">IF(Errorhandling!$C$42,INDEX(Calc!$J$99:$J$109,MATCH(Display!B1297,Calc!$K$99:$K$109,0),1),#N/A)</f>
        <v>#N/A</v>
      </c>
    </row>
    <row r="1298" spans="2:6" x14ac:dyDescent="0.2">
      <c r="B1298" s="6">
        <f t="shared" si="24"/>
        <v>1295</v>
      </c>
      <c r="C1298" s="81" t="e">
        <f ca="1">VLOOKUP(B1298,Calc!$K$66:$L$76,2,FALSE)</f>
        <v>#N/A</v>
      </c>
      <c r="D1298" s="81" t="e">
        <f ca="1">VLOOKUP(B1298,Calc!$K$77:$L$87,2,FALSE)</f>
        <v>#N/A</v>
      </c>
      <c r="E1298" s="523" t="e">
        <f ca="1">VLOOKUP(B1298,Calc!$K$88:$L$98,2,FALSE)</f>
        <v>#N/A</v>
      </c>
      <c r="F1298" s="523" t="e">
        <f ca="1">IF(Errorhandling!$C$42,INDEX(Calc!$J$99:$J$109,MATCH(Display!B1298,Calc!$K$99:$K$109,0),1),#N/A)</f>
        <v>#N/A</v>
      </c>
    </row>
    <row r="1299" spans="2:6" x14ac:dyDescent="0.2">
      <c r="B1299" s="6">
        <f t="shared" si="24"/>
        <v>1296</v>
      </c>
      <c r="C1299" s="81" t="e">
        <f ca="1">VLOOKUP(B1299,Calc!$K$66:$L$76,2,FALSE)</f>
        <v>#N/A</v>
      </c>
      <c r="D1299" s="81" t="e">
        <f ca="1">VLOOKUP(B1299,Calc!$K$77:$L$87,2,FALSE)</f>
        <v>#N/A</v>
      </c>
      <c r="E1299" s="523" t="e">
        <f ca="1">VLOOKUP(B1299,Calc!$K$88:$L$98,2,FALSE)</f>
        <v>#N/A</v>
      </c>
      <c r="F1299" s="523" t="e">
        <f ca="1">IF(Errorhandling!$C$42,INDEX(Calc!$J$99:$J$109,MATCH(Display!B1299,Calc!$K$99:$K$109,0),1),#N/A)</f>
        <v>#N/A</v>
      </c>
    </row>
    <row r="1300" spans="2:6" x14ac:dyDescent="0.2">
      <c r="B1300" s="6">
        <f t="shared" si="24"/>
        <v>1297</v>
      </c>
      <c r="C1300" s="81" t="e">
        <f ca="1">VLOOKUP(B1300,Calc!$K$66:$L$76,2,FALSE)</f>
        <v>#N/A</v>
      </c>
      <c r="D1300" s="81" t="e">
        <f ca="1">VLOOKUP(B1300,Calc!$K$77:$L$87,2,FALSE)</f>
        <v>#N/A</v>
      </c>
      <c r="E1300" s="523" t="e">
        <f ca="1">VLOOKUP(B1300,Calc!$K$88:$L$98,2,FALSE)</f>
        <v>#N/A</v>
      </c>
      <c r="F1300" s="523" t="e">
        <f ca="1">IF(Errorhandling!$C$42,INDEX(Calc!$J$99:$J$109,MATCH(Display!B1300,Calc!$K$99:$K$109,0),1),#N/A)</f>
        <v>#N/A</v>
      </c>
    </row>
    <row r="1301" spans="2:6" x14ac:dyDescent="0.2">
      <c r="B1301" s="6">
        <f t="shared" si="24"/>
        <v>1298</v>
      </c>
      <c r="C1301" s="81" t="e">
        <f ca="1">VLOOKUP(B1301,Calc!$K$66:$L$76,2,FALSE)</f>
        <v>#N/A</v>
      </c>
      <c r="D1301" s="81" t="e">
        <f ca="1">VLOOKUP(B1301,Calc!$K$77:$L$87,2,FALSE)</f>
        <v>#N/A</v>
      </c>
      <c r="E1301" s="523" t="e">
        <f ca="1">VLOOKUP(B1301,Calc!$K$88:$L$98,2,FALSE)</f>
        <v>#N/A</v>
      </c>
      <c r="F1301" s="523" t="e">
        <f ca="1">IF(Errorhandling!$C$42,INDEX(Calc!$J$99:$J$109,MATCH(Display!B1301,Calc!$K$99:$K$109,0),1),#N/A)</f>
        <v>#N/A</v>
      </c>
    </row>
    <row r="1302" spans="2:6" x14ac:dyDescent="0.2">
      <c r="B1302" s="6">
        <f t="shared" si="24"/>
        <v>1299</v>
      </c>
      <c r="C1302" s="81" t="e">
        <f ca="1">VLOOKUP(B1302,Calc!$K$66:$L$76,2,FALSE)</f>
        <v>#N/A</v>
      </c>
      <c r="D1302" s="81" t="e">
        <f ca="1">VLOOKUP(B1302,Calc!$K$77:$L$87,2,FALSE)</f>
        <v>#N/A</v>
      </c>
      <c r="E1302" s="523">
        <f ca="1">VLOOKUP(B1302,Calc!$K$88:$L$98,2,FALSE)</f>
        <v>30.877157317486262</v>
      </c>
      <c r="F1302" s="523" t="e">
        <f ca="1">IF(Errorhandling!$C$42,INDEX(Calc!$J$99:$J$109,MATCH(Display!B1302,Calc!$K$99:$K$109,0),1),#N/A)</f>
        <v>#N/A</v>
      </c>
    </row>
    <row r="1303" spans="2:6" x14ac:dyDescent="0.2">
      <c r="B1303" s="6">
        <f t="shared" si="24"/>
        <v>1300</v>
      </c>
      <c r="C1303" s="81" t="e">
        <f ca="1">VLOOKUP(B1303,Calc!$K$66:$L$76,2,FALSE)</f>
        <v>#N/A</v>
      </c>
      <c r="D1303" s="81" t="e">
        <f ca="1">VLOOKUP(B1303,Calc!$K$77:$L$87,2,FALSE)</f>
        <v>#N/A</v>
      </c>
      <c r="E1303" s="523" t="e">
        <f ca="1">VLOOKUP(B1303,Calc!$K$88:$L$98,2,FALSE)</f>
        <v>#N/A</v>
      </c>
      <c r="F1303" s="523">
        <f ca="1">IF(Errorhandling!$C$42,INDEX(Calc!$J$99:$J$109,MATCH(Display!B1303,Calc!$K$99:$K$109,0),1),#N/A)</f>
        <v>2.1859353356680235E-5</v>
      </c>
    </row>
    <row r="1304" spans="2:6" x14ac:dyDescent="0.2">
      <c r="B1304" s="6">
        <f t="shared" si="24"/>
        <v>1301</v>
      </c>
      <c r="C1304" s="81" t="e">
        <f ca="1">VLOOKUP(B1304,Calc!$K$66:$L$76,2,FALSE)</f>
        <v>#N/A</v>
      </c>
      <c r="D1304" s="81" t="e">
        <f ca="1">VLOOKUP(B1304,Calc!$K$77:$L$87,2,FALSE)</f>
        <v>#N/A</v>
      </c>
      <c r="E1304" s="523" t="e">
        <f ca="1">VLOOKUP(B1304,Calc!$K$88:$L$98,2,FALSE)</f>
        <v>#N/A</v>
      </c>
      <c r="F1304" s="523" t="e">
        <f ca="1">IF(Errorhandling!$C$42,INDEX(Calc!$J$99:$J$109,MATCH(Display!B1304,Calc!$K$99:$K$109,0),1),#N/A)</f>
        <v>#N/A</v>
      </c>
    </row>
    <row r="1305" spans="2:6" x14ac:dyDescent="0.2">
      <c r="B1305" s="6">
        <f t="shared" si="24"/>
        <v>1302</v>
      </c>
      <c r="C1305" s="81" t="e">
        <f ca="1">VLOOKUP(B1305,Calc!$K$66:$L$76,2,FALSE)</f>
        <v>#N/A</v>
      </c>
      <c r="D1305" s="81" t="e">
        <f ca="1">VLOOKUP(B1305,Calc!$K$77:$L$87,2,FALSE)</f>
        <v>#N/A</v>
      </c>
      <c r="E1305" s="523" t="e">
        <f ca="1">VLOOKUP(B1305,Calc!$K$88:$L$98,2,FALSE)</f>
        <v>#N/A</v>
      </c>
      <c r="F1305" s="523" t="e">
        <f ca="1">IF(Errorhandling!$C$42,INDEX(Calc!$J$99:$J$109,MATCH(Display!B1305,Calc!$K$99:$K$109,0),1),#N/A)</f>
        <v>#N/A</v>
      </c>
    </row>
    <row r="1306" spans="2:6" x14ac:dyDescent="0.2">
      <c r="B1306" s="6">
        <f t="shared" si="24"/>
        <v>1303</v>
      </c>
      <c r="C1306" s="81" t="e">
        <f ca="1">VLOOKUP(B1306,Calc!$K$66:$L$76,2,FALSE)</f>
        <v>#N/A</v>
      </c>
      <c r="D1306" s="81" t="e">
        <f ca="1">VLOOKUP(B1306,Calc!$K$77:$L$87,2,FALSE)</f>
        <v>#N/A</v>
      </c>
      <c r="E1306" s="523" t="e">
        <f ca="1">VLOOKUP(B1306,Calc!$K$88:$L$98,2,FALSE)</f>
        <v>#N/A</v>
      </c>
      <c r="F1306" s="523" t="e">
        <f ca="1">IF(Errorhandling!$C$42,INDEX(Calc!$J$99:$J$109,MATCH(Display!B1306,Calc!$K$99:$K$109,0),1),#N/A)</f>
        <v>#N/A</v>
      </c>
    </row>
    <row r="1307" spans="2:6" x14ac:dyDescent="0.2">
      <c r="B1307" s="6">
        <f t="shared" si="24"/>
        <v>1304</v>
      </c>
      <c r="C1307" s="81" t="e">
        <f ca="1">VLOOKUP(B1307,Calc!$K$66:$L$76,2,FALSE)</f>
        <v>#N/A</v>
      </c>
      <c r="D1307" s="81" t="e">
        <f ca="1">VLOOKUP(B1307,Calc!$K$77:$L$87,2,FALSE)</f>
        <v>#N/A</v>
      </c>
      <c r="E1307" s="523" t="e">
        <f ca="1">VLOOKUP(B1307,Calc!$K$88:$L$98,2,FALSE)</f>
        <v>#N/A</v>
      </c>
      <c r="F1307" s="523" t="e">
        <f ca="1">IF(Errorhandling!$C$42,INDEX(Calc!$J$99:$J$109,MATCH(Display!B1307,Calc!$K$99:$K$109,0),1),#N/A)</f>
        <v>#N/A</v>
      </c>
    </row>
    <row r="1308" spans="2:6" x14ac:dyDescent="0.2">
      <c r="B1308" s="6">
        <f t="shared" si="24"/>
        <v>1305</v>
      </c>
      <c r="C1308" s="81" t="e">
        <f ca="1">VLOOKUP(B1308,Calc!$K$66:$L$76,2,FALSE)</f>
        <v>#N/A</v>
      </c>
      <c r="D1308" s="81" t="e">
        <f ca="1">VLOOKUP(B1308,Calc!$K$77:$L$87,2,FALSE)</f>
        <v>#N/A</v>
      </c>
      <c r="E1308" s="523" t="e">
        <f ca="1">VLOOKUP(B1308,Calc!$K$88:$L$98,2,FALSE)</f>
        <v>#N/A</v>
      </c>
      <c r="F1308" s="523" t="e">
        <f ca="1">IF(Errorhandling!$C$42,INDEX(Calc!$J$99:$J$109,MATCH(Display!B1308,Calc!$K$99:$K$109,0),1),#N/A)</f>
        <v>#N/A</v>
      </c>
    </row>
    <row r="1309" spans="2:6" x14ac:dyDescent="0.2">
      <c r="B1309" s="6">
        <f t="shared" si="24"/>
        <v>1306</v>
      </c>
      <c r="C1309" s="81" t="e">
        <f ca="1">VLOOKUP(B1309,Calc!$K$66:$L$76,2,FALSE)</f>
        <v>#N/A</v>
      </c>
      <c r="D1309" s="81" t="e">
        <f ca="1">VLOOKUP(B1309,Calc!$K$77:$L$87,2,FALSE)</f>
        <v>#N/A</v>
      </c>
      <c r="E1309" s="523" t="e">
        <f ca="1">VLOOKUP(B1309,Calc!$K$88:$L$98,2,FALSE)</f>
        <v>#N/A</v>
      </c>
      <c r="F1309" s="523" t="e">
        <f ca="1">IF(Errorhandling!$C$42,INDEX(Calc!$J$99:$J$109,MATCH(Display!B1309,Calc!$K$99:$K$109,0),1),#N/A)</f>
        <v>#N/A</v>
      </c>
    </row>
    <row r="1310" spans="2:6" x14ac:dyDescent="0.2">
      <c r="B1310" s="6">
        <f t="shared" si="24"/>
        <v>1307</v>
      </c>
      <c r="C1310" s="81" t="e">
        <f ca="1">VLOOKUP(B1310,Calc!$K$66:$L$76,2,FALSE)</f>
        <v>#N/A</v>
      </c>
      <c r="D1310" s="81" t="e">
        <f ca="1">VLOOKUP(B1310,Calc!$K$77:$L$87,2,FALSE)</f>
        <v>#N/A</v>
      </c>
      <c r="E1310" s="523" t="e">
        <f ca="1">VLOOKUP(B1310,Calc!$K$88:$L$98,2,FALSE)</f>
        <v>#N/A</v>
      </c>
      <c r="F1310" s="523" t="e">
        <f ca="1">IF(Errorhandling!$C$42,INDEX(Calc!$J$99:$J$109,MATCH(Display!B1310,Calc!$K$99:$K$109,0),1),#N/A)</f>
        <v>#N/A</v>
      </c>
    </row>
    <row r="1311" spans="2:6" x14ac:dyDescent="0.2">
      <c r="B1311" s="6">
        <f t="shared" si="24"/>
        <v>1308</v>
      </c>
      <c r="C1311" s="81" t="e">
        <f ca="1">VLOOKUP(B1311,Calc!$K$66:$L$76,2,FALSE)</f>
        <v>#N/A</v>
      </c>
      <c r="D1311" s="81" t="e">
        <f ca="1">VLOOKUP(B1311,Calc!$K$77:$L$87,2,FALSE)</f>
        <v>#N/A</v>
      </c>
      <c r="E1311" s="523" t="e">
        <f ca="1">VLOOKUP(B1311,Calc!$K$88:$L$98,2,FALSE)</f>
        <v>#N/A</v>
      </c>
      <c r="F1311" s="523" t="e">
        <f ca="1">IF(Errorhandling!$C$42,INDEX(Calc!$J$99:$J$109,MATCH(Display!B1311,Calc!$K$99:$K$109,0),1),#N/A)</f>
        <v>#N/A</v>
      </c>
    </row>
    <row r="1312" spans="2:6" x14ac:dyDescent="0.2">
      <c r="B1312" s="6">
        <f t="shared" si="24"/>
        <v>1309</v>
      </c>
      <c r="C1312" s="81" t="e">
        <f ca="1">VLOOKUP(B1312,Calc!$K$66:$L$76,2,FALSE)</f>
        <v>#N/A</v>
      </c>
      <c r="D1312" s="81" t="e">
        <f ca="1">VLOOKUP(B1312,Calc!$K$77:$L$87,2,FALSE)</f>
        <v>#N/A</v>
      </c>
      <c r="E1312" s="523" t="e">
        <f ca="1">VLOOKUP(B1312,Calc!$K$88:$L$98,2,FALSE)</f>
        <v>#N/A</v>
      </c>
      <c r="F1312" s="523" t="e">
        <f ca="1">IF(Errorhandling!$C$42,INDEX(Calc!$J$99:$J$109,MATCH(Display!B1312,Calc!$K$99:$K$109,0),1),#N/A)</f>
        <v>#N/A</v>
      </c>
    </row>
    <row r="1313" spans="2:6" x14ac:dyDescent="0.2">
      <c r="B1313" s="6">
        <f t="shared" si="24"/>
        <v>1310</v>
      </c>
      <c r="C1313" s="81" t="e">
        <f ca="1">VLOOKUP(B1313,Calc!$K$66:$L$76,2,FALSE)</f>
        <v>#N/A</v>
      </c>
      <c r="D1313" s="81" t="e">
        <f ca="1">VLOOKUP(B1313,Calc!$K$77:$L$87,2,FALSE)</f>
        <v>#N/A</v>
      </c>
      <c r="E1313" s="523" t="e">
        <f ca="1">VLOOKUP(B1313,Calc!$K$88:$L$98,2,FALSE)</f>
        <v>#N/A</v>
      </c>
      <c r="F1313" s="523" t="e">
        <f ca="1">IF(Errorhandling!$C$42,INDEX(Calc!$J$99:$J$109,MATCH(Display!B1313,Calc!$K$99:$K$109,0),1),#N/A)</f>
        <v>#N/A</v>
      </c>
    </row>
    <row r="1314" spans="2:6" x14ac:dyDescent="0.2">
      <c r="B1314" s="6">
        <f t="shared" si="24"/>
        <v>1311</v>
      </c>
      <c r="C1314" s="81" t="e">
        <f ca="1">VLOOKUP(B1314,Calc!$K$66:$L$76,2,FALSE)</f>
        <v>#N/A</v>
      </c>
      <c r="D1314" s="81" t="e">
        <f ca="1">VLOOKUP(B1314,Calc!$K$77:$L$87,2,FALSE)</f>
        <v>#N/A</v>
      </c>
      <c r="E1314" s="523" t="e">
        <f ca="1">VLOOKUP(B1314,Calc!$K$88:$L$98,2,FALSE)</f>
        <v>#N/A</v>
      </c>
      <c r="F1314" s="523" t="e">
        <f ca="1">IF(Errorhandling!$C$42,INDEX(Calc!$J$99:$J$109,MATCH(Display!B1314,Calc!$K$99:$K$109,0),1),#N/A)</f>
        <v>#N/A</v>
      </c>
    </row>
    <row r="1315" spans="2:6" x14ac:dyDescent="0.2">
      <c r="B1315" s="6">
        <f t="shared" si="24"/>
        <v>1312</v>
      </c>
      <c r="C1315" s="81" t="e">
        <f ca="1">VLOOKUP(B1315,Calc!$K$66:$L$76,2,FALSE)</f>
        <v>#N/A</v>
      </c>
      <c r="D1315" s="81" t="e">
        <f ca="1">VLOOKUP(B1315,Calc!$K$77:$L$87,2,FALSE)</f>
        <v>#N/A</v>
      </c>
      <c r="E1315" s="523" t="e">
        <f ca="1">VLOOKUP(B1315,Calc!$K$88:$L$98,2,FALSE)</f>
        <v>#N/A</v>
      </c>
      <c r="F1315" s="523" t="e">
        <f ca="1">IF(Errorhandling!$C$42,INDEX(Calc!$J$99:$J$109,MATCH(Display!B1315,Calc!$K$99:$K$109,0),1),#N/A)</f>
        <v>#N/A</v>
      </c>
    </row>
    <row r="1316" spans="2:6" x14ac:dyDescent="0.2">
      <c r="B1316" s="6">
        <f t="shared" si="24"/>
        <v>1313</v>
      </c>
      <c r="C1316" s="81" t="e">
        <f ca="1">VLOOKUP(B1316,Calc!$K$66:$L$76,2,FALSE)</f>
        <v>#N/A</v>
      </c>
      <c r="D1316" s="81" t="e">
        <f ca="1">VLOOKUP(B1316,Calc!$K$77:$L$87,2,FALSE)</f>
        <v>#N/A</v>
      </c>
      <c r="E1316" s="523" t="e">
        <f ca="1">VLOOKUP(B1316,Calc!$K$88:$L$98,2,FALSE)</f>
        <v>#N/A</v>
      </c>
      <c r="F1316" s="523" t="e">
        <f ca="1">IF(Errorhandling!$C$42,INDEX(Calc!$J$99:$J$109,MATCH(Display!B1316,Calc!$K$99:$K$109,0),1),#N/A)</f>
        <v>#N/A</v>
      </c>
    </row>
    <row r="1317" spans="2:6" x14ac:dyDescent="0.2">
      <c r="B1317" s="6">
        <f t="shared" si="24"/>
        <v>1314</v>
      </c>
      <c r="C1317" s="81" t="e">
        <f ca="1">VLOOKUP(B1317,Calc!$K$66:$L$76,2,FALSE)</f>
        <v>#N/A</v>
      </c>
      <c r="D1317" s="81" t="e">
        <f ca="1">VLOOKUP(B1317,Calc!$K$77:$L$87,2,FALSE)</f>
        <v>#N/A</v>
      </c>
      <c r="E1317" s="523" t="e">
        <f ca="1">VLOOKUP(B1317,Calc!$K$88:$L$98,2,FALSE)</f>
        <v>#N/A</v>
      </c>
      <c r="F1317" s="523" t="e">
        <f ca="1">IF(Errorhandling!$C$42,INDEX(Calc!$J$99:$J$109,MATCH(Display!B1317,Calc!$K$99:$K$109,0),1),#N/A)</f>
        <v>#N/A</v>
      </c>
    </row>
    <row r="1318" spans="2:6" x14ac:dyDescent="0.2">
      <c r="B1318" s="6">
        <f t="shared" si="24"/>
        <v>1315</v>
      </c>
      <c r="C1318" s="81" t="e">
        <f ca="1">VLOOKUP(B1318,Calc!$K$66:$L$76,2,FALSE)</f>
        <v>#N/A</v>
      </c>
      <c r="D1318" s="81" t="e">
        <f ca="1">VLOOKUP(B1318,Calc!$K$77:$L$87,2,FALSE)</f>
        <v>#N/A</v>
      </c>
      <c r="E1318" s="523" t="e">
        <f ca="1">VLOOKUP(B1318,Calc!$K$88:$L$98,2,FALSE)</f>
        <v>#N/A</v>
      </c>
      <c r="F1318" s="523" t="e">
        <f ca="1">IF(Errorhandling!$C$42,INDEX(Calc!$J$99:$J$109,MATCH(Display!B1318,Calc!$K$99:$K$109,0),1),#N/A)</f>
        <v>#N/A</v>
      </c>
    </row>
    <row r="1319" spans="2:6" x14ac:dyDescent="0.2">
      <c r="B1319" s="6">
        <f t="shared" si="24"/>
        <v>1316</v>
      </c>
      <c r="C1319" s="81" t="e">
        <f ca="1">VLOOKUP(B1319,Calc!$K$66:$L$76,2,FALSE)</f>
        <v>#N/A</v>
      </c>
      <c r="D1319" s="81" t="e">
        <f ca="1">VLOOKUP(B1319,Calc!$K$77:$L$87,2,FALSE)</f>
        <v>#N/A</v>
      </c>
      <c r="E1319" s="523" t="e">
        <f ca="1">VLOOKUP(B1319,Calc!$K$88:$L$98,2,FALSE)</f>
        <v>#N/A</v>
      </c>
      <c r="F1319" s="523" t="e">
        <f ca="1">IF(Errorhandling!$C$42,INDEX(Calc!$J$99:$J$109,MATCH(Display!B1319,Calc!$K$99:$K$109,0),1),#N/A)</f>
        <v>#N/A</v>
      </c>
    </row>
    <row r="1320" spans="2:6" x14ac:dyDescent="0.2">
      <c r="B1320" s="6">
        <f t="shared" si="24"/>
        <v>1317</v>
      </c>
      <c r="C1320" s="81" t="e">
        <f ca="1">VLOOKUP(B1320,Calc!$K$66:$L$76,2,FALSE)</f>
        <v>#N/A</v>
      </c>
      <c r="D1320" s="81" t="e">
        <f ca="1">VLOOKUP(B1320,Calc!$K$77:$L$87,2,FALSE)</f>
        <v>#N/A</v>
      </c>
      <c r="E1320" s="523" t="e">
        <f ca="1">VLOOKUP(B1320,Calc!$K$88:$L$98,2,FALSE)</f>
        <v>#N/A</v>
      </c>
      <c r="F1320" s="523" t="e">
        <f ca="1">IF(Errorhandling!$C$42,INDEX(Calc!$J$99:$J$109,MATCH(Display!B1320,Calc!$K$99:$K$109,0),1),#N/A)</f>
        <v>#N/A</v>
      </c>
    </row>
    <row r="1321" spans="2:6" x14ac:dyDescent="0.2">
      <c r="B1321" s="6">
        <f t="shared" si="24"/>
        <v>1318</v>
      </c>
      <c r="C1321" s="81" t="e">
        <f ca="1">VLOOKUP(B1321,Calc!$K$66:$L$76,2,FALSE)</f>
        <v>#N/A</v>
      </c>
      <c r="D1321" s="81" t="e">
        <f ca="1">VLOOKUP(B1321,Calc!$K$77:$L$87,2,FALSE)</f>
        <v>#N/A</v>
      </c>
      <c r="E1321" s="523" t="e">
        <f ca="1">VLOOKUP(B1321,Calc!$K$88:$L$98,2,FALSE)</f>
        <v>#N/A</v>
      </c>
      <c r="F1321" s="523" t="e">
        <f ca="1">IF(Errorhandling!$C$42,INDEX(Calc!$J$99:$J$109,MATCH(Display!B1321,Calc!$K$99:$K$109,0),1),#N/A)</f>
        <v>#N/A</v>
      </c>
    </row>
    <row r="1322" spans="2:6" x14ac:dyDescent="0.2">
      <c r="B1322" s="6">
        <f t="shared" si="24"/>
        <v>1319</v>
      </c>
      <c r="C1322" s="81" t="e">
        <f ca="1">VLOOKUP(B1322,Calc!$K$66:$L$76,2,FALSE)</f>
        <v>#N/A</v>
      </c>
      <c r="D1322" s="81" t="e">
        <f ca="1">VLOOKUP(B1322,Calc!$K$77:$L$87,2,FALSE)</f>
        <v>#N/A</v>
      </c>
      <c r="E1322" s="523" t="e">
        <f ca="1">VLOOKUP(B1322,Calc!$K$88:$L$98,2,FALSE)</f>
        <v>#N/A</v>
      </c>
      <c r="F1322" s="523" t="e">
        <f ca="1">IF(Errorhandling!$C$42,INDEX(Calc!$J$99:$J$109,MATCH(Display!B1322,Calc!$K$99:$K$109,0),1),#N/A)</f>
        <v>#N/A</v>
      </c>
    </row>
    <row r="1323" spans="2:6" x14ac:dyDescent="0.2">
      <c r="B1323" s="6">
        <f t="shared" si="24"/>
        <v>1320</v>
      </c>
      <c r="C1323" s="81" t="e">
        <f ca="1">VLOOKUP(B1323,Calc!$K$66:$L$76,2,FALSE)</f>
        <v>#N/A</v>
      </c>
      <c r="D1323" s="81" t="e">
        <f ca="1">VLOOKUP(B1323,Calc!$K$77:$L$87,2,FALSE)</f>
        <v>#N/A</v>
      </c>
      <c r="E1323" s="523" t="e">
        <f ca="1">VLOOKUP(B1323,Calc!$K$88:$L$98,2,FALSE)</f>
        <v>#N/A</v>
      </c>
      <c r="F1323" s="523" t="e">
        <f ca="1">IF(Errorhandling!$C$42,INDEX(Calc!$J$99:$J$109,MATCH(Display!B1323,Calc!$K$99:$K$109,0),1),#N/A)</f>
        <v>#N/A</v>
      </c>
    </row>
    <row r="1324" spans="2:6" x14ac:dyDescent="0.2">
      <c r="B1324" s="6">
        <f t="shared" si="24"/>
        <v>1321</v>
      </c>
      <c r="C1324" s="81" t="e">
        <f ca="1">VLOOKUP(B1324,Calc!$K$66:$L$76,2,FALSE)</f>
        <v>#N/A</v>
      </c>
      <c r="D1324" s="81" t="e">
        <f ca="1">VLOOKUP(B1324,Calc!$K$77:$L$87,2,FALSE)</f>
        <v>#N/A</v>
      </c>
      <c r="E1324" s="523" t="e">
        <f ca="1">VLOOKUP(B1324,Calc!$K$88:$L$98,2,FALSE)</f>
        <v>#N/A</v>
      </c>
      <c r="F1324" s="523" t="e">
        <f ca="1">IF(Errorhandling!$C$42,INDEX(Calc!$J$99:$J$109,MATCH(Display!B1324,Calc!$K$99:$K$109,0),1),#N/A)</f>
        <v>#N/A</v>
      </c>
    </row>
    <row r="1325" spans="2:6" x14ac:dyDescent="0.2">
      <c r="B1325" s="6">
        <f t="shared" si="24"/>
        <v>1322</v>
      </c>
      <c r="C1325" s="81" t="e">
        <f ca="1">VLOOKUP(B1325,Calc!$K$66:$L$76,2,FALSE)</f>
        <v>#N/A</v>
      </c>
      <c r="D1325" s="81" t="e">
        <f ca="1">VLOOKUP(B1325,Calc!$K$77:$L$87,2,FALSE)</f>
        <v>#N/A</v>
      </c>
      <c r="E1325" s="523" t="e">
        <f ca="1">VLOOKUP(B1325,Calc!$K$88:$L$98,2,FALSE)</f>
        <v>#N/A</v>
      </c>
      <c r="F1325" s="523" t="e">
        <f ca="1">IF(Errorhandling!$C$42,INDEX(Calc!$J$99:$J$109,MATCH(Display!B1325,Calc!$K$99:$K$109,0),1),#N/A)</f>
        <v>#N/A</v>
      </c>
    </row>
    <row r="1326" spans="2:6" x14ac:dyDescent="0.2">
      <c r="B1326" s="6">
        <f t="shared" si="24"/>
        <v>1323</v>
      </c>
      <c r="C1326" s="81" t="e">
        <f ca="1">VLOOKUP(B1326,Calc!$K$66:$L$76,2,FALSE)</f>
        <v>#N/A</v>
      </c>
      <c r="D1326" s="81" t="e">
        <f ca="1">VLOOKUP(B1326,Calc!$K$77:$L$87,2,FALSE)</f>
        <v>#N/A</v>
      </c>
      <c r="E1326" s="523" t="e">
        <f ca="1">VLOOKUP(B1326,Calc!$K$88:$L$98,2,FALSE)</f>
        <v>#N/A</v>
      </c>
      <c r="F1326" s="523" t="e">
        <f ca="1">IF(Errorhandling!$C$42,INDEX(Calc!$J$99:$J$109,MATCH(Display!B1326,Calc!$K$99:$K$109,0),1),#N/A)</f>
        <v>#N/A</v>
      </c>
    </row>
    <row r="1327" spans="2:6" x14ac:dyDescent="0.2">
      <c r="B1327" s="6">
        <f t="shared" si="24"/>
        <v>1324</v>
      </c>
      <c r="C1327" s="81" t="e">
        <f ca="1">VLOOKUP(B1327,Calc!$K$66:$L$76,2,FALSE)</f>
        <v>#N/A</v>
      </c>
      <c r="D1327" s="81" t="e">
        <f ca="1">VLOOKUP(B1327,Calc!$K$77:$L$87,2,FALSE)</f>
        <v>#N/A</v>
      </c>
      <c r="E1327" s="523" t="e">
        <f ca="1">VLOOKUP(B1327,Calc!$K$88:$L$98,2,FALSE)</f>
        <v>#N/A</v>
      </c>
      <c r="F1327" s="523" t="e">
        <f ca="1">IF(Errorhandling!$C$42,INDEX(Calc!$J$99:$J$109,MATCH(Display!B1327,Calc!$K$99:$K$109,0),1),#N/A)</f>
        <v>#N/A</v>
      </c>
    </row>
    <row r="1328" spans="2:6" x14ac:dyDescent="0.2">
      <c r="B1328" s="6">
        <f t="shared" si="24"/>
        <v>1325</v>
      </c>
      <c r="C1328" s="81" t="e">
        <f ca="1">VLOOKUP(B1328,Calc!$K$66:$L$76,2,FALSE)</f>
        <v>#N/A</v>
      </c>
      <c r="D1328" s="81" t="e">
        <f ca="1">VLOOKUP(B1328,Calc!$K$77:$L$87,2,FALSE)</f>
        <v>#N/A</v>
      </c>
      <c r="E1328" s="523" t="e">
        <f ca="1">VLOOKUP(B1328,Calc!$K$88:$L$98,2,FALSE)</f>
        <v>#N/A</v>
      </c>
      <c r="F1328" s="523" t="e">
        <f ca="1">IF(Errorhandling!$C$42,INDEX(Calc!$J$99:$J$109,MATCH(Display!B1328,Calc!$K$99:$K$109,0),1),#N/A)</f>
        <v>#N/A</v>
      </c>
    </row>
    <row r="1329" spans="2:6" x14ac:dyDescent="0.2">
      <c r="B1329" s="6">
        <f t="shared" si="24"/>
        <v>1326</v>
      </c>
      <c r="C1329" s="81" t="e">
        <f ca="1">VLOOKUP(B1329,Calc!$K$66:$L$76,2,FALSE)</f>
        <v>#N/A</v>
      </c>
      <c r="D1329" s="81" t="e">
        <f ca="1">VLOOKUP(B1329,Calc!$K$77:$L$87,2,FALSE)</f>
        <v>#N/A</v>
      </c>
      <c r="E1329" s="523" t="e">
        <f ca="1">VLOOKUP(B1329,Calc!$K$88:$L$98,2,FALSE)</f>
        <v>#N/A</v>
      </c>
      <c r="F1329" s="523" t="e">
        <f ca="1">IF(Errorhandling!$C$42,INDEX(Calc!$J$99:$J$109,MATCH(Display!B1329,Calc!$K$99:$K$109,0),1),#N/A)</f>
        <v>#N/A</v>
      </c>
    </row>
    <row r="1330" spans="2:6" x14ac:dyDescent="0.2">
      <c r="B1330" s="6">
        <f t="shared" si="24"/>
        <v>1327</v>
      </c>
      <c r="C1330" s="81" t="e">
        <f ca="1">VLOOKUP(B1330,Calc!$K$66:$L$76,2,FALSE)</f>
        <v>#N/A</v>
      </c>
      <c r="D1330" s="81" t="e">
        <f ca="1">VLOOKUP(B1330,Calc!$K$77:$L$87,2,FALSE)</f>
        <v>#N/A</v>
      </c>
      <c r="E1330" s="523" t="e">
        <f ca="1">VLOOKUP(B1330,Calc!$K$88:$L$98,2,FALSE)</f>
        <v>#N/A</v>
      </c>
      <c r="F1330" s="523" t="e">
        <f ca="1">IF(Errorhandling!$C$42,INDEX(Calc!$J$99:$J$109,MATCH(Display!B1330,Calc!$K$99:$K$109,0),1),#N/A)</f>
        <v>#N/A</v>
      </c>
    </row>
    <row r="1331" spans="2:6" x14ac:dyDescent="0.2">
      <c r="B1331" s="6">
        <f t="shared" si="24"/>
        <v>1328</v>
      </c>
      <c r="C1331" s="81" t="e">
        <f ca="1">VLOOKUP(B1331,Calc!$K$66:$L$76,2,FALSE)</f>
        <v>#N/A</v>
      </c>
      <c r="D1331" s="81" t="e">
        <f ca="1">VLOOKUP(B1331,Calc!$K$77:$L$87,2,FALSE)</f>
        <v>#N/A</v>
      </c>
      <c r="E1331" s="523" t="e">
        <f ca="1">VLOOKUP(B1331,Calc!$K$88:$L$98,2,FALSE)</f>
        <v>#N/A</v>
      </c>
      <c r="F1331" s="523" t="e">
        <f ca="1">IF(Errorhandling!$C$42,INDEX(Calc!$J$99:$J$109,MATCH(Display!B1331,Calc!$K$99:$K$109,0),1),#N/A)</f>
        <v>#N/A</v>
      </c>
    </row>
    <row r="1332" spans="2:6" x14ac:dyDescent="0.2">
      <c r="B1332" s="6">
        <f t="shared" si="24"/>
        <v>1329</v>
      </c>
      <c r="C1332" s="81" t="e">
        <f ca="1">VLOOKUP(B1332,Calc!$K$66:$L$76,2,FALSE)</f>
        <v>#N/A</v>
      </c>
      <c r="D1332" s="81" t="e">
        <f ca="1">VLOOKUP(B1332,Calc!$K$77:$L$87,2,FALSE)</f>
        <v>#N/A</v>
      </c>
      <c r="E1332" s="523" t="e">
        <f ca="1">VLOOKUP(B1332,Calc!$K$88:$L$98,2,FALSE)</f>
        <v>#N/A</v>
      </c>
      <c r="F1332" s="523" t="e">
        <f ca="1">IF(Errorhandling!$C$42,INDEX(Calc!$J$99:$J$109,MATCH(Display!B1332,Calc!$K$99:$K$109,0),1),#N/A)</f>
        <v>#N/A</v>
      </c>
    </row>
    <row r="1333" spans="2:6" x14ac:dyDescent="0.2">
      <c r="B1333" s="6">
        <f t="shared" si="24"/>
        <v>1330</v>
      </c>
      <c r="C1333" s="81" t="e">
        <f ca="1">VLOOKUP(B1333,Calc!$K$66:$L$76,2,FALSE)</f>
        <v>#N/A</v>
      </c>
      <c r="D1333" s="81" t="e">
        <f ca="1">VLOOKUP(B1333,Calc!$K$77:$L$87,2,FALSE)</f>
        <v>#N/A</v>
      </c>
      <c r="E1333" s="523" t="e">
        <f ca="1">VLOOKUP(B1333,Calc!$K$88:$L$98,2,FALSE)</f>
        <v>#N/A</v>
      </c>
      <c r="F1333" s="523" t="e">
        <f ca="1">IF(Errorhandling!$C$42,INDEX(Calc!$J$99:$J$109,MATCH(Display!B1333,Calc!$K$99:$K$109,0),1),#N/A)</f>
        <v>#N/A</v>
      </c>
    </row>
    <row r="1334" spans="2:6" x14ac:dyDescent="0.2">
      <c r="B1334" s="6">
        <f t="shared" si="24"/>
        <v>1331</v>
      </c>
      <c r="C1334" s="81" t="e">
        <f ca="1">VLOOKUP(B1334,Calc!$K$66:$L$76,2,FALSE)</f>
        <v>#N/A</v>
      </c>
      <c r="D1334" s="81" t="e">
        <f ca="1">VLOOKUP(B1334,Calc!$K$77:$L$87,2,FALSE)</f>
        <v>#N/A</v>
      </c>
      <c r="E1334" s="523" t="e">
        <f ca="1">VLOOKUP(B1334,Calc!$K$88:$L$98,2,FALSE)</f>
        <v>#N/A</v>
      </c>
      <c r="F1334" s="523" t="e">
        <f ca="1">IF(Errorhandling!$C$42,INDEX(Calc!$J$99:$J$109,MATCH(Display!B1334,Calc!$K$99:$K$109,0),1),#N/A)</f>
        <v>#N/A</v>
      </c>
    </row>
    <row r="1335" spans="2:6" x14ac:dyDescent="0.2">
      <c r="B1335" s="6">
        <f t="shared" si="24"/>
        <v>1332</v>
      </c>
      <c r="C1335" s="81" t="e">
        <f ca="1">VLOOKUP(B1335,Calc!$K$66:$L$76,2,FALSE)</f>
        <v>#N/A</v>
      </c>
      <c r="D1335" s="81" t="e">
        <f ca="1">VLOOKUP(B1335,Calc!$K$77:$L$87,2,FALSE)</f>
        <v>#N/A</v>
      </c>
      <c r="E1335" s="523" t="e">
        <f ca="1">VLOOKUP(B1335,Calc!$K$88:$L$98,2,FALSE)</f>
        <v>#N/A</v>
      </c>
      <c r="F1335" s="523" t="e">
        <f ca="1">IF(Errorhandling!$C$42,INDEX(Calc!$J$99:$J$109,MATCH(Display!B1335,Calc!$K$99:$K$109,0),1),#N/A)</f>
        <v>#N/A</v>
      </c>
    </row>
    <row r="1336" spans="2:6" x14ac:dyDescent="0.2">
      <c r="B1336" s="6">
        <f t="shared" si="24"/>
        <v>1333</v>
      </c>
      <c r="C1336" s="81" t="e">
        <f ca="1">VLOOKUP(B1336,Calc!$K$66:$L$76,2,FALSE)</f>
        <v>#N/A</v>
      </c>
      <c r="D1336" s="81" t="e">
        <f ca="1">VLOOKUP(B1336,Calc!$K$77:$L$87,2,FALSE)</f>
        <v>#N/A</v>
      </c>
      <c r="E1336" s="523" t="e">
        <f ca="1">VLOOKUP(B1336,Calc!$K$88:$L$98,2,FALSE)</f>
        <v>#N/A</v>
      </c>
      <c r="F1336" s="523" t="e">
        <f ca="1">IF(Errorhandling!$C$42,INDEX(Calc!$J$99:$J$109,MATCH(Display!B1336,Calc!$K$99:$K$109,0),1),#N/A)</f>
        <v>#N/A</v>
      </c>
    </row>
    <row r="1337" spans="2:6" x14ac:dyDescent="0.2">
      <c r="B1337" s="6">
        <f t="shared" si="24"/>
        <v>1334</v>
      </c>
      <c r="C1337" s="81" t="e">
        <f ca="1">VLOOKUP(B1337,Calc!$K$66:$L$76,2,FALSE)</f>
        <v>#N/A</v>
      </c>
      <c r="D1337" s="81" t="e">
        <f ca="1">VLOOKUP(B1337,Calc!$K$77:$L$87,2,FALSE)</f>
        <v>#N/A</v>
      </c>
      <c r="E1337" s="523" t="e">
        <f ca="1">VLOOKUP(B1337,Calc!$K$88:$L$98,2,FALSE)</f>
        <v>#N/A</v>
      </c>
      <c r="F1337" s="523" t="e">
        <f ca="1">IF(Errorhandling!$C$42,INDEX(Calc!$J$99:$J$109,MATCH(Display!B1337,Calc!$K$99:$K$109,0),1),#N/A)</f>
        <v>#N/A</v>
      </c>
    </row>
    <row r="1338" spans="2:6" x14ac:dyDescent="0.2">
      <c r="B1338" s="6">
        <f t="shared" si="24"/>
        <v>1335</v>
      </c>
      <c r="C1338" s="81" t="e">
        <f ca="1">VLOOKUP(B1338,Calc!$K$66:$L$76,2,FALSE)</f>
        <v>#N/A</v>
      </c>
      <c r="D1338" s="81" t="e">
        <f ca="1">VLOOKUP(B1338,Calc!$K$77:$L$87,2,FALSE)</f>
        <v>#N/A</v>
      </c>
      <c r="E1338" s="523" t="e">
        <f ca="1">VLOOKUP(B1338,Calc!$K$88:$L$98,2,FALSE)</f>
        <v>#N/A</v>
      </c>
      <c r="F1338" s="523" t="e">
        <f ca="1">IF(Errorhandling!$C$42,INDEX(Calc!$J$99:$J$109,MATCH(Display!B1338,Calc!$K$99:$K$109,0),1),#N/A)</f>
        <v>#N/A</v>
      </c>
    </row>
    <row r="1339" spans="2:6" x14ac:dyDescent="0.2">
      <c r="B1339" s="6">
        <f t="shared" si="24"/>
        <v>1336</v>
      </c>
      <c r="C1339" s="81" t="e">
        <f ca="1">VLOOKUP(B1339,Calc!$K$66:$L$76,2,FALSE)</f>
        <v>#N/A</v>
      </c>
      <c r="D1339" s="81" t="e">
        <f ca="1">VLOOKUP(B1339,Calc!$K$77:$L$87,2,FALSE)</f>
        <v>#N/A</v>
      </c>
      <c r="E1339" s="523" t="e">
        <f ca="1">VLOOKUP(B1339,Calc!$K$88:$L$98,2,FALSE)</f>
        <v>#N/A</v>
      </c>
      <c r="F1339" s="523" t="e">
        <f ca="1">IF(Errorhandling!$C$42,INDEX(Calc!$J$99:$J$109,MATCH(Display!B1339,Calc!$K$99:$K$109,0),1),#N/A)</f>
        <v>#N/A</v>
      </c>
    </row>
    <row r="1340" spans="2:6" x14ac:dyDescent="0.2">
      <c r="B1340" s="6">
        <f t="shared" si="24"/>
        <v>1337</v>
      </c>
      <c r="C1340" s="81" t="e">
        <f ca="1">VLOOKUP(B1340,Calc!$K$66:$L$76,2,FALSE)</f>
        <v>#N/A</v>
      </c>
      <c r="D1340" s="81" t="e">
        <f ca="1">VLOOKUP(B1340,Calc!$K$77:$L$87,2,FALSE)</f>
        <v>#N/A</v>
      </c>
      <c r="E1340" s="523" t="e">
        <f ca="1">VLOOKUP(B1340,Calc!$K$88:$L$98,2,FALSE)</f>
        <v>#N/A</v>
      </c>
      <c r="F1340" s="523" t="e">
        <f ca="1">IF(Errorhandling!$C$42,INDEX(Calc!$J$99:$J$109,MATCH(Display!B1340,Calc!$K$99:$K$109,0),1),#N/A)</f>
        <v>#N/A</v>
      </c>
    </row>
    <row r="1341" spans="2:6" x14ac:dyDescent="0.2">
      <c r="B1341" s="6">
        <f t="shared" si="24"/>
        <v>1338</v>
      </c>
      <c r="C1341" s="81" t="e">
        <f ca="1">VLOOKUP(B1341,Calc!$K$66:$L$76,2,FALSE)</f>
        <v>#N/A</v>
      </c>
      <c r="D1341" s="81" t="e">
        <f ca="1">VLOOKUP(B1341,Calc!$K$77:$L$87,2,FALSE)</f>
        <v>#N/A</v>
      </c>
      <c r="E1341" s="523" t="e">
        <f ca="1">VLOOKUP(B1341,Calc!$K$88:$L$98,2,FALSE)</f>
        <v>#N/A</v>
      </c>
      <c r="F1341" s="523" t="e">
        <f ca="1">IF(Errorhandling!$C$42,INDEX(Calc!$J$99:$J$109,MATCH(Display!B1341,Calc!$K$99:$K$109,0),1),#N/A)</f>
        <v>#N/A</v>
      </c>
    </row>
    <row r="1342" spans="2:6" x14ac:dyDescent="0.2">
      <c r="B1342" s="6">
        <f t="shared" si="24"/>
        <v>1339</v>
      </c>
      <c r="C1342" s="81" t="e">
        <f ca="1">VLOOKUP(B1342,Calc!$K$66:$L$76,2,FALSE)</f>
        <v>#N/A</v>
      </c>
      <c r="D1342" s="81" t="e">
        <f ca="1">VLOOKUP(B1342,Calc!$K$77:$L$87,2,FALSE)</f>
        <v>#N/A</v>
      </c>
      <c r="E1342" s="523" t="e">
        <f ca="1">VLOOKUP(B1342,Calc!$K$88:$L$98,2,FALSE)</f>
        <v>#N/A</v>
      </c>
      <c r="F1342" s="523" t="e">
        <f ca="1">IF(Errorhandling!$C$42,INDEX(Calc!$J$99:$J$109,MATCH(Display!B1342,Calc!$K$99:$K$109,0),1),#N/A)</f>
        <v>#N/A</v>
      </c>
    </row>
    <row r="1343" spans="2:6" x14ac:dyDescent="0.2">
      <c r="B1343" s="6">
        <f t="shared" si="24"/>
        <v>1340</v>
      </c>
      <c r="C1343" s="81" t="e">
        <f ca="1">VLOOKUP(B1343,Calc!$K$66:$L$76,2,FALSE)</f>
        <v>#N/A</v>
      </c>
      <c r="D1343" s="81" t="e">
        <f ca="1">VLOOKUP(B1343,Calc!$K$77:$L$87,2,FALSE)</f>
        <v>#N/A</v>
      </c>
      <c r="E1343" s="523" t="e">
        <f ca="1">VLOOKUP(B1343,Calc!$K$88:$L$98,2,FALSE)</f>
        <v>#N/A</v>
      </c>
      <c r="F1343" s="523" t="e">
        <f ca="1">IF(Errorhandling!$C$42,INDEX(Calc!$J$99:$J$109,MATCH(Display!B1343,Calc!$K$99:$K$109,0),1),#N/A)</f>
        <v>#N/A</v>
      </c>
    </row>
    <row r="1344" spans="2:6" x14ac:dyDescent="0.2">
      <c r="B1344" s="6">
        <f t="shared" si="24"/>
        <v>1341</v>
      </c>
      <c r="C1344" s="81" t="e">
        <f ca="1">VLOOKUP(B1344,Calc!$K$66:$L$76,2,FALSE)</f>
        <v>#N/A</v>
      </c>
      <c r="D1344" s="81" t="e">
        <f ca="1">VLOOKUP(B1344,Calc!$K$77:$L$87,2,FALSE)</f>
        <v>#N/A</v>
      </c>
      <c r="E1344" s="523" t="e">
        <f ca="1">VLOOKUP(B1344,Calc!$K$88:$L$98,2,FALSE)</f>
        <v>#N/A</v>
      </c>
      <c r="F1344" s="523" t="e">
        <f ca="1">IF(Errorhandling!$C$42,INDEX(Calc!$J$99:$J$109,MATCH(Display!B1344,Calc!$K$99:$K$109,0),1),#N/A)</f>
        <v>#N/A</v>
      </c>
    </row>
    <row r="1345" spans="2:6" x14ac:dyDescent="0.2">
      <c r="B1345" s="6">
        <f t="shared" si="24"/>
        <v>1342</v>
      </c>
      <c r="C1345" s="81" t="e">
        <f ca="1">VLOOKUP(B1345,Calc!$K$66:$L$76,2,FALSE)</f>
        <v>#N/A</v>
      </c>
      <c r="D1345" s="81" t="e">
        <f ca="1">VLOOKUP(B1345,Calc!$K$77:$L$87,2,FALSE)</f>
        <v>#N/A</v>
      </c>
      <c r="E1345" s="523" t="e">
        <f ca="1">VLOOKUP(B1345,Calc!$K$88:$L$98,2,FALSE)</f>
        <v>#N/A</v>
      </c>
      <c r="F1345" s="523" t="e">
        <f ca="1">IF(Errorhandling!$C$42,INDEX(Calc!$J$99:$J$109,MATCH(Display!B1345,Calc!$K$99:$K$109,0),1),#N/A)</f>
        <v>#N/A</v>
      </c>
    </row>
    <row r="1346" spans="2:6" x14ac:dyDescent="0.2">
      <c r="B1346" s="6">
        <f t="shared" si="24"/>
        <v>1343</v>
      </c>
      <c r="C1346" s="81" t="e">
        <f ca="1">VLOOKUP(B1346,Calc!$K$66:$L$76,2,FALSE)</f>
        <v>#N/A</v>
      </c>
      <c r="D1346" s="81" t="e">
        <f ca="1">VLOOKUP(B1346,Calc!$K$77:$L$87,2,FALSE)</f>
        <v>#N/A</v>
      </c>
      <c r="E1346" s="523" t="e">
        <f ca="1">VLOOKUP(B1346,Calc!$K$88:$L$98,2,FALSE)</f>
        <v>#N/A</v>
      </c>
      <c r="F1346" s="523" t="e">
        <f ca="1">IF(Errorhandling!$C$42,INDEX(Calc!$J$99:$J$109,MATCH(Display!B1346,Calc!$K$99:$K$109,0),1),#N/A)</f>
        <v>#N/A</v>
      </c>
    </row>
    <row r="1347" spans="2:6" x14ac:dyDescent="0.2">
      <c r="B1347" s="6">
        <f t="shared" si="24"/>
        <v>1344</v>
      </c>
      <c r="C1347" s="81" t="e">
        <f ca="1">VLOOKUP(B1347,Calc!$K$66:$L$76,2,FALSE)</f>
        <v>#N/A</v>
      </c>
      <c r="D1347" s="81" t="e">
        <f ca="1">VLOOKUP(B1347,Calc!$K$77:$L$87,2,FALSE)</f>
        <v>#N/A</v>
      </c>
      <c r="E1347" s="523" t="e">
        <f ca="1">VLOOKUP(B1347,Calc!$K$88:$L$98,2,FALSE)</f>
        <v>#N/A</v>
      </c>
      <c r="F1347" s="523" t="e">
        <f ca="1">IF(Errorhandling!$C$42,INDEX(Calc!$J$99:$J$109,MATCH(Display!B1347,Calc!$K$99:$K$109,0),1),#N/A)</f>
        <v>#N/A</v>
      </c>
    </row>
    <row r="1348" spans="2:6" x14ac:dyDescent="0.2">
      <c r="B1348" s="6">
        <f t="shared" si="24"/>
        <v>1345</v>
      </c>
      <c r="C1348" s="81" t="e">
        <f ca="1">VLOOKUP(B1348,Calc!$K$66:$L$76,2,FALSE)</f>
        <v>#N/A</v>
      </c>
      <c r="D1348" s="81" t="e">
        <f ca="1">VLOOKUP(B1348,Calc!$K$77:$L$87,2,FALSE)</f>
        <v>#N/A</v>
      </c>
      <c r="E1348" s="523" t="e">
        <f ca="1">VLOOKUP(B1348,Calc!$K$88:$L$98,2,FALSE)</f>
        <v>#N/A</v>
      </c>
      <c r="F1348" s="523" t="e">
        <f ca="1">IF(Errorhandling!$C$42,INDEX(Calc!$J$99:$J$109,MATCH(Display!B1348,Calc!$K$99:$K$109,0),1),#N/A)</f>
        <v>#N/A</v>
      </c>
    </row>
    <row r="1349" spans="2:6" x14ac:dyDescent="0.2">
      <c r="B1349" s="6">
        <f t="shared" si="24"/>
        <v>1346</v>
      </c>
      <c r="C1349" s="81" t="e">
        <f ca="1">VLOOKUP(B1349,Calc!$K$66:$L$76,2,FALSE)</f>
        <v>#N/A</v>
      </c>
      <c r="D1349" s="81" t="e">
        <f ca="1">VLOOKUP(B1349,Calc!$K$77:$L$87,2,FALSE)</f>
        <v>#N/A</v>
      </c>
      <c r="E1349" s="523" t="e">
        <f ca="1">VLOOKUP(B1349,Calc!$K$88:$L$98,2,FALSE)</f>
        <v>#N/A</v>
      </c>
      <c r="F1349" s="523" t="e">
        <f ca="1">IF(Errorhandling!$C$42,INDEX(Calc!$J$99:$J$109,MATCH(Display!B1349,Calc!$K$99:$K$109,0),1),#N/A)</f>
        <v>#N/A</v>
      </c>
    </row>
    <row r="1350" spans="2:6" x14ac:dyDescent="0.2">
      <c r="B1350" s="6">
        <f t="shared" si="24"/>
        <v>1347</v>
      </c>
      <c r="C1350" s="81" t="e">
        <f ca="1">VLOOKUP(B1350,Calc!$K$66:$L$76,2,FALSE)</f>
        <v>#N/A</v>
      </c>
      <c r="D1350" s="81" t="e">
        <f ca="1">VLOOKUP(B1350,Calc!$K$77:$L$87,2,FALSE)</f>
        <v>#N/A</v>
      </c>
      <c r="E1350" s="523" t="e">
        <f ca="1">VLOOKUP(B1350,Calc!$K$88:$L$98,2,FALSE)</f>
        <v>#N/A</v>
      </c>
      <c r="F1350" s="523" t="e">
        <f ca="1">IF(Errorhandling!$C$42,INDEX(Calc!$J$99:$J$109,MATCH(Display!B1350,Calc!$K$99:$K$109,0),1),#N/A)</f>
        <v>#N/A</v>
      </c>
    </row>
    <row r="1351" spans="2:6" x14ac:dyDescent="0.2">
      <c r="B1351" s="6">
        <f t="shared" ref="B1351:B1414" si="25">1+B1350</f>
        <v>1348</v>
      </c>
      <c r="C1351" s="81" t="e">
        <f ca="1">VLOOKUP(B1351,Calc!$K$66:$L$76,2,FALSE)</f>
        <v>#N/A</v>
      </c>
      <c r="D1351" s="81" t="e">
        <f ca="1">VLOOKUP(B1351,Calc!$K$77:$L$87,2,FALSE)</f>
        <v>#N/A</v>
      </c>
      <c r="E1351" s="523" t="e">
        <f ca="1">VLOOKUP(B1351,Calc!$K$88:$L$98,2,FALSE)</f>
        <v>#N/A</v>
      </c>
      <c r="F1351" s="523" t="e">
        <f ca="1">IF(Errorhandling!$C$42,INDEX(Calc!$J$99:$J$109,MATCH(Display!B1351,Calc!$K$99:$K$109,0),1),#N/A)</f>
        <v>#N/A</v>
      </c>
    </row>
    <row r="1352" spans="2:6" x14ac:dyDescent="0.2">
      <c r="B1352" s="6">
        <f t="shared" si="25"/>
        <v>1349</v>
      </c>
      <c r="C1352" s="81" t="e">
        <f ca="1">VLOOKUP(B1352,Calc!$K$66:$L$76,2,FALSE)</f>
        <v>#N/A</v>
      </c>
      <c r="D1352" s="81" t="e">
        <f ca="1">VLOOKUP(B1352,Calc!$K$77:$L$87,2,FALSE)</f>
        <v>#N/A</v>
      </c>
      <c r="E1352" s="523" t="e">
        <f ca="1">VLOOKUP(B1352,Calc!$K$88:$L$98,2,FALSE)</f>
        <v>#N/A</v>
      </c>
      <c r="F1352" s="523" t="e">
        <f ca="1">IF(Errorhandling!$C$42,INDEX(Calc!$J$99:$J$109,MATCH(Display!B1352,Calc!$K$99:$K$109,0),1),#N/A)</f>
        <v>#N/A</v>
      </c>
    </row>
    <row r="1353" spans="2:6" x14ac:dyDescent="0.2">
      <c r="B1353" s="6">
        <f t="shared" si="25"/>
        <v>1350</v>
      </c>
      <c r="C1353" s="81" t="e">
        <f ca="1">VLOOKUP(B1353,Calc!$K$66:$L$76,2,FALSE)</f>
        <v>#N/A</v>
      </c>
      <c r="D1353" s="81" t="e">
        <f ca="1">VLOOKUP(B1353,Calc!$K$77:$L$87,2,FALSE)</f>
        <v>#N/A</v>
      </c>
      <c r="E1353" s="523" t="e">
        <f ca="1">VLOOKUP(B1353,Calc!$K$88:$L$98,2,FALSE)</f>
        <v>#N/A</v>
      </c>
      <c r="F1353" s="523" t="e">
        <f ca="1">IF(Errorhandling!$C$42,INDEX(Calc!$J$99:$J$109,MATCH(Display!B1353,Calc!$K$99:$K$109,0),1),#N/A)</f>
        <v>#N/A</v>
      </c>
    </row>
    <row r="1354" spans="2:6" x14ac:dyDescent="0.2">
      <c r="B1354" s="6">
        <f t="shared" si="25"/>
        <v>1351</v>
      </c>
      <c r="C1354" s="81" t="e">
        <f ca="1">VLOOKUP(B1354,Calc!$K$66:$L$76,2,FALSE)</f>
        <v>#N/A</v>
      </c>
      <c r="D1354" s="81" t="e">
        <f ca="1">VLOOKUP(B1354,Calc!$K$77:$L$87,2,FALSE)</f>
        <v>#N/A</v>
      </c>
      <c r="E1354" s="523" t="e">
        <f ca="1">VLOOKUP(B1354,Calc!$K$88:$L$98,2,FALSE)</f>
        <v>#N/A</v>
      </c>
      <c r="F1354" s="523" t="e">
        <f ca="1">IF(Errorhandling!$C$42,INDEX(Calc!$J$99:$J$109,MATCH(Display!B1354,Calc!$K$99:$K$109,0),1),#N/A)</f>
        <v>#N/A</v>
      </c>
    </row>
    <row r="1355" spans="2:6" x14ac:dyDescent="0.2">
      <c r="B1355" s="6">
        <f t="shared" si="25"/>
        <v>1352</v>
      </c>
      <c r="C1355" s="81" t="e">
        <f ca="1">VLOOKUP(B1355,Calc!$K$66:$L$76,2,FALSE)</f>
        <v>#N/A</v>
      </c>
      <c r="D1355" s="81" t="e">
        <f ca="1">VLOOKUP(B1355,Calc!$K$77:$L$87,2,FALSE)</f>
        <v>#N/A</v>
      </c>
      <c r="E1355" s="523" t="e">
        <f ca="1">VLOOKUP(B1355,Calc!$K$88:$L$98,2,FALSE)</f>
        <v>#N/A</v>
      </c>
      <c r="F1355" s="523" t="e">
        <f ca="1">IF(Errorhandling!$C$42,INDEX(Calc!$J$99:$J$109,MATCH(Display!B1355,Calc!$K$99:$K$109,0),1),#N/A)</f>
        <v>#N/A</v>
      </c>
    </row>
    <row r="1356" spans="2:6" x14ac:dyDescent="0.2">
      <c r="B1356" s="6">
        <f t="shared" si="25"/>
        <v>1353</v>
      </c>
      <c r="C1356" s="81" t="e">
        <f ca="1">VLOOKUP(B1356,Calc!$K$66:$L$76,2,FALSE)</f>
        <v>#N/A</v>
      </c>
      <c r="D1356" s="81" t="e">
        <f ca="1">VLOOKUP(B1356,Calc!$K$77:$L$87,2,FALSE)</f>
        <v>#N/A</v>
      </c>
      <c r="E1356" s="523" t="e">
        <f ca="1">VLOOKUP(B1356,Calc!$K$88:$L$98,2,FALSE)</f>
        <v>#N/A</v>
      </c>
      <c r="F1356" s="523" t="e">
        <f ca="1">IF(Errorhandling!$C$42,INDEX(Calc!$J$99:$J$109,MATCH(Display!B1356,Calc!$K$99:$K$109,0),1),#N/A)</f>
        <v>#N/A</v>
      </c>
    </row>
    <row r="1357" spans="2:6" x14ac:dyDescent="0.2">
      <c r="B1357" s="6">
        <f t="shared" si="25"/>
        <v>1354</v>
      </c>
      <c r="C1357" s="81" t="e">
        <f ca="1">VLOOKUP(B1357,Calc!$K$66:$L$76,2,FALSE)</f>
        <v>#N/A</v>
      </c>
      <c r="D1357" s="81" t="e">
        <f ca="1">VLOOKUP(B1357,Calc!$K$77:$L$87,2,FALSE)</f>
        <v>#N/A</v>
      </c>
      <c r="E1357" s="523" t="e">
        <f ca="1">VLOOKUP(B1357,Calc!$K$88:$L$98,2,FALSE)</f>
        <v>#N/A</v>
      </c>
      <c r="F1357" s="523" t="e">
        <f ca="1">IF(Errorhandling!$C$42,INDEX(Calc!$J$99:$J$109,MATCH(Display!B1357,Calc!$K$99:$K$109,0),1),#N/A)</f>
        <v>#N/A</v>
      </c>
    </row>
    <row r="1358" spans="2:6" x14ac:dyDescent="0.2">
      <c r="B1358" s="6">
        <f t="shared" si="25"/>
        <v>1355</v>
      </c>
      <c r="C1358" s="81" t="e">
        <f ca="1">VLOOKUP(B1358,Calc!$K$66:$L$76,2,FALSE)</f>
        <v>#N/A</v>
      </c>
      <c r="D1358" s="81" t="e">
        <f ca="1">VLOOKUP(B1358,Calc!$K$77:$L$87,2,FALSE)</f>
        <v>#N/A</v>
      </c>
      <c r="E1358" s="523" t="e">
        <f ca="1">VLOOKUP(B1358,Calc!$K$88:$L$98,2,FALSE)</f>
        <v>#N/A</v>
      </c>
      <c r="F1358" s="523" t="e">
        <f ca="1">IF(Errorhandling!$C$42,INDEX(Calc!$J$99:$J$109,MATCH(Display!B1358,Calc!$K$99:$K$109,0),1),#N/A)</f>
        <v>#N/A</v>
      </c>
    </row>
    <row r="1359" spans="2:6" x14ac:dyDescent="0.2">
      <c r="B1359" s="6">
        <f t="shared" si="25"/>
        <v>1356</v>
      </c>
      <c r="C1359" s="81" t="e">
        <f ca="1">VLOOKUP(B1359,Calc!$K$66:$L$76,2,FALSE)</f>
        <v>#N/A</v>
      </c>
      <c r="D1359" s="81" t="e">
        <f ca="1">VLOOKUP(B1359,Calc!$K$77:$L$87,2,FALSE)</f>
        <v>#N/A</v>
      </c>
      <c r="E1359" s="523" t="e">
        <f ca="1">VLOOKUP(B1359,Calc!$K$88:$L$98,2,FALSE)</f>
        <v>#N/A</v>
      </c>
      <c r="F1359" s="523" t="e">
        <f ca="1">IF(Errorhandling!$C$42,INDEX(Calc!$J$99:$J$109,MATCH(Display!B1359,Calc!$K$99:$K$109,0),1),#N/A)</f>
        <v>#N/A</v>
      </c>
    </row>
    <row r="1360" spans="2:6" x14ac:dyDescent="0.2">
      <c r="B1360" s="6">
        <f t="shared" si="25"/>
        <v>1357</v>
      </c>
      <c r="C1360" s="81" t="e">
        <f ca="1">VLOOKUP(B1360,Calc!$K$66:$L$76,2,FALSE)</f>
        <v>#N/A</v>
      </c>
      <c r="D1360" s="81" t="e">
        <f ca="1">VLOOKUP(B1360,Calc!$K$77:$L$87,2,FALSE)</f>
        <v>#N/A</v>
      </c>
      <c r="E1360" s="523" t="e">
        <f ca="1">VLOOKUP(B1360,Calc!$K$88:$L$98,2,FALSE)</f>
        <v>#N/A</v>
      </c>
      <c r="F1360" s="523" t="e">
        <f ca="1">IF(Errorhandling!$C$42,INDEX(Calc!$J$99:$J$109,MATCH(Display!B1360,Calc!$K$99:$K$109,0),1),#N/A)</f>
        <v>#N/A</v>
      </c>
    </row>
    <row r="1361" spans="2:6" x14ac:dyDescent="0.2">
      <c r="B1361" s="6">
        <f t="shared" si="25"/>
        <v>1358</v>
      </c>
      <c r="C1361" s="81" t="e">
        <f ca="1">VLOOKUP(B1361,Calc!$K$66:$L$76,2,FALSE)</f>
        <v>#N/A</v>
      </c>
      <c r="D1361" s="81" t="e">
        <f ca="1">VLOOKUP(B1361,Calc!$K$77:$L$87,2,FALSE)</f>
        <v>#N/A</v>
      </c>
      <c r="E1361" s="523" t="e">
        <f ca="1">VLOOKUP(B1361,Calc!$K$88:$L$98,2,FALSE)</f>
        <v>#N/A</v>
      </c>
      <c r="F1361" s="523" t="e">
        <f ca="1">IF(Errorhandling!$C$42,INDEX(Calc!$J$99:$J$109,MATCH(Display!B1361,Calc!$K$99:$K$109,0),1),#N/A)</f>
        <v>#N/A</v>
      </c>
    </row>
    <row r="1362" spans="2:6" x14ac:dyDescent="0.2">
      <c r="B1362" s="6">
        <f t="shared" si="25"/>
        <v>1359</v>
      </c>
      <c r="C1362" s="81" t="e">
        <f ca="1">VLOOKUP(B1362,Calc!$K$66:$L$76,2,FALSE)</f>
        <v>#N/A</v>
      </c>
      <c r="D1362" s="81" t="e">
        <f ca="1">VLOOKUP(B1362,Calc!$K$77:$L$87,2,FALSE)</f>
        <v>#N/A</v>
      </c>
      <c r="E1362" s="523" t="e">
        <f ca="1">VLOOKUP(B1362,Calc!$K$88:$L$98,2,FALSE)</f>
        <v>#N/A</v>
      </c>
      <c r="F1362" s="523" t="e">
        <f ca="1">IF(Errorhandling!$C$42,INDEX(Calc!$J$99:$J$109,MATCH(Display!B1362,Calc!$K$99:$K$109,0),1),#N/A)</f>
        <v>#N/A</v>
      </c>
    </row>
    <row r="1363" spans="2:6" x14ac:dyDescent="0.2">
      <c r="B1363" s="6">
        <f t="shared" si="25"/>
        <v>1360</v>
      </c>
      <c r="C1363" s="81" t="e">
        <f ca="1">VLOOKUP(B1363,Calc!$K$66:$L$76,2,FALSE)</f>
        <v>#N/A</v>
      </c>
      <c r="D1363" s="81" t="e">
        <f ca="1">VLOOKUP(B1363,Calc!$K$77:$L$87,2,FALSE)</f>
        <v>#N/A</v>
      </c>
      <c r="E1363" s="523" t="e">
        <f ca="1">VLOOKUP(B1363,Calc!$K$88:$L$98,2,FALSE)</f>
        <v>#N/A</v>
      </c>
      <c r="F1363" s="523" t="e">
        <f ca="1">IF(Errorhandling!$C$42,INDEX(Calc!$J$99:$J$109,MATCH(Display!B1363,Calc!$K$99:$K$109,0),1),#N/A)</f>
        <v>#N/A</v>
      </c>
    </row>
    <row r="1364" spans="2:6" x14ac:dyDescent="0.2">
      <c r="B1364" s="6">
        <f t="shared" si="25"/>
        <v>1361</v>
      </c>
      <c r="C1364" s="81" t="e">
        <f ca="1">VLOOKUP(B1364,Calc!$K$66:$L$76,2,FALSE)</f>
        <v>#N/A</v>
      </c>
      <c r="D1364" s="81" t="e">
        <f ca="1">VLOOKUP(B1364,Calc!$K$77:$L$87,2,FALSE)</f>
        <v>#N/A</v>
      </c>
      <c r="E1364" s="523" t="e">
        <f ca="1">VLOOKUP(B1364,Calc!$K$88:$L$98,2,FALSE)</f>
        <v>#N/A</v>
      </c>
      <c r="F1364" s="523" t="e">
        <f ca="1">IF(Errorhandling!$C$42,INDEX(Calc!$J$99:$J$109,MATCH(Display!B1364,Calc!$K$99:$K$109,0),1),#N/A)</f>
        <v>#N/A</v>
      </c>
    </row>
    <row r="1365" spans="2:6" x14ac:dyDescent="0.2">
      <c r="B1365" s="6">
        <f t="shared" si="25"/>
        <v>1362</v>
      </c>
      <c r="C1365" s="81" t="e">
        <f ca="1">VLOOKUP(B1365,Calc!$K$66:$L$76,2,FALSE)</f>
        <v>#N/A</v>
      </c>
      <c r="D1365" s="81" t="e">
        <f ca="1">VLOOKUP(B1365,Calc!$K$77:$L$87,2,FALSE)</f>
        <v>#N/A</v>
      </c>
      <c r="E1365" s="523" t="e">
        <f ca="1">VLOOKUP(B1365,Calc!$K$88:$L$98,2,FALSE)</f>
        <v>#N/A</v>
      </c>
      <c r="F1365" s="523" t="e">
        <f ca="1">IF(Errorhandling!$C$42,INDEX(Calc!$J$99:$J$109,MATCH(Display!B1365,Calc!$K$99:$K$109,0),1),#N/A)</f>
        <v>#N/A</v>
      </c>
    </row>
    <row r="1366" spans="2:6" x14ac:dyDescent="0.2">
      <c r="B1366" s="6">
        <f t="shared" si="25"/>
        <v>1363</v>
      </c>
      <c r="C1366" s="81" t="e">
        <f ca="1">VLOOKUP(B1366,Calc!$K$66:$L$76,2,FALSE)</f>
        <v>#N/A</v>
      </c>
      <c r="D1366" s="81" t="e">
        <f ca="1">VLOOKUP(B1366,Calc!$K$77:$L$87,2,FALSE)</f>
        <v>#N/A</v>
      </c>
      <c r="E1366" s="523" t="e">
        <f ca="1">VLOOKUP(B1366,Calc!$K$88:$L$98,2,FALSE)</f>
        <v>#N/A</v>
      </c>
      <c r="F1366" s="523" t="e">
        <f ca="1">IF(Errorhandling!$C$42,INDEX(Calc!$J$99:$J$109,MATCH(Display!B1366,Calc!$K$99:$K$109,0),1),#N/A)</f>
        <v>#N/A</v>
      </c>
    </row>
    <row r="1367" spans="2:6" x14ac:dyDescent="0.2">
      <c r="B1367" s="6">
        <f t="shared" si="25"/>
        <v>1364</v>
      </c>
      <c r="C1367" s="81" t="e">
        <f ca="1">VLOOKUP(B1367,Calc!$K$66:$L$76,2,FALSE)</f>
        <v>#N/A</v>
      </c>
      <c r="D1367" s="81" t="e">
        <f ca="1">VLOOKUP(B1367,Calc!$K$77:$L$87,2,FALSE)</f>
        <v>#N/A</v>
      </c>
      <c r="E1367" s="523" t="e">
        <f ca="1">VLOOKUP(B1367,Calc!$K$88:$L$98,2,FALSE)</f>
        <v>#N/A</v>
      </c>
      <c r="F1367" s="523" t="e">
        <f ca="1">IF(Errorhandling!$C$42,INDEX(Calc!$J$99:$J$109,MATCH(Display!B1367,Calc!$K$99:$K$109,0),1),#N/A)</f>
        <v>#N/A</v>
      </c>
    </row>
    <row r="1368" spans="2:6" x14ac:dyDescent="0.2">
      <c r="B1368" s="6">
        <f t="shared" si="25"/>
        <v>1365</v>
      </c>
      <c r="C1368" s="81" t="e">
        <f ca="1">VLOOKUP(B1368,Calc!$K$66:$L$76,2,FALSE)</f>
        <v>#N/A</v>
      </c>
      <c r="D1368" s="81" t="e">
        <f ca="1">VLOOKUP(B1368,Calc!$K$77:$L$87,2,FALSE)</f>
        <v>#N/A</v>
      </c>
      <c r="E1368" s="523" t="e">
        <f ca="1">VLOOKUP(B1368,Calc!$K$88:$L$98,2,FALSE)</f>
        <v>#N/A</v>
      </c>
      <c r="F1368" s="523" t="e">
        <f ca="1">IF(Errorhandling!$C$42,INDEX(Calc!$J$99:$J$109,MATCH(Display!B1368,Calc!$K$99:$K$109,0),1),#N/A)</f>
        <v>#N/A</v>
      </c>
    </row>
    <row r="1369" spans="2:6" x14ac:dyDescent="0.2">
      <c r="B1369" s="6">
        <f t="shared" si="25"/>
        <v>1366</v>
      </c>
      <c r="C1369" s="81" t="e">
        <f ca="1">VLOOKUP(B1369,Calc!$K$66:$L$76,2,FALSE)</f>
        <v>#N/A</v>
      </c>
      <c r="D1369" s="81" t="e">
        <f ca="1">VLOOKUP(B1369,Calc!$K$77:$L$87,2,FALSE)</f>
        <v>#N/A</v>
      </c>
      <c r="E1369" s="523" t="e">
        <f ca="1">VLOOKUP(B1369,Calc!$K$88:$L$98,2,FALSE)</f>
        <v>#N/A</v>
      </c>
      <c r="F1369" s="523" t="e">
        <f ca="1">IF(Errorhandling!$C$42,INDEX(Calc!$J$99:$J$109,MATCH(Display!B1369,Calc!$K$99:$K$109,0),1),#N/A)</f>
        <v>#N/A</v>
      </c>
    </row>
    <row r="1370" spans="2:6" x14ac:dyDescent="0.2">
      <c r="B1370" s="6">
        <f t="shared" si="25"/>
        <v>1367</v>
      </c>
      <c r="C1370" s="81" t="e">
        <f ca="1">VLOOKUP(B1370,Calc!$K$66:$L$76,2,FALSE)</f>
        <v>#N/A</v>
      </c>
      <c r="D1370" s="81" t="e">
        <f ca="1">VLOOKUP(B1370,Calc!$K$77:$L$87,2,FALSE)</f>
        <v>#N/A</v>
      </c>
      <c r="E1370" s="523" t="e">
        <f ca="1">VLOOKUP(B1370,Calc!$K$88:$L$98,2,FALSE)</f>
        <v>#N/A</v>
      </c>
      <c r="F1370" s="523" t="e">
        <f ca="1">IF(Errorhandling!$C$42,INDEX(Calc!$J$99:$J$109,MATCH(Display!B1370,Calc!$K$99:$K$109,0),1),#N/A)</f>
        <v>#N/A</v>
      </c>
    </row>
    <row r="1371" spans="2:6" x14ac:dyDescent="0.2">
      <c r="B1371" s="6">
        <f t="shared" si="25"/>
        <v>1368</v>
      </c>
      <c r="C1371" s="81" t="e">
        <f ca="1">VLOOKUP(B1371,Calc!$K$66:$L$76,2,FALSE)</f>
        <v>#N/A</v>
      </c>
      <c r="D1371" s="81" t="e">
        <f ca="1">VLOOKUP(B1371,Calc!$K$77:$L$87,2,FALSE)</f>
        <v>#N/A</v>
      </c>
      <c r="E1371" s="523" t="e">
        <f ca="1">VLOOKUP(B1371,Calc!$K$88:$L$98,2,FALSE)</f>
        <v>#N/A</v>
      </c>
      <c r="F1371" s="523" t="e">
        <f ca="1">IF(Errorhandling!$C$42,INDEX(Calc!$J$99:$J$109,MATCH(Display!B1371,Calc!$K$99:$K$109,0),1),#N/A)</f>
        <v>#N/A</v>
      </c>
    </row>
    <row r="1372" spans="2:6" x14ac:dyDescent="0.2">
      <c r="B1372" s="6">
        <f t="shared" si="25"/>
        <v>1369</v>
      </c>
      <c r="C1372" s="81" t="e">
        <f ca="1">VLOOKUP(B1372,Calc!$K$66:$L$76,2,FALSE)</f>
        <v>#N/A</v>
      </c>
      <c r="D1372" s="81" t="e">
        <f ca="1">VLOOKUP(B1372,Calc!$K$77:$L$87,2,FALSE)</f>
        <v>#N/A</v>
      </c>
      <c r="E1372" s="523" t="e">
        <f ca="1">VLOOKUP(B1372,Calc!$K$88:$L$98,2,FALSE)</f>
        <v>#N/A</v>
      </c>
      <c r="F1372" s="523" t="e">
        <f ca="1">IF(Errorhandling!$C$42,INDEX(Calc!$J$99:$J$109,MATCH(Display!B1372,Calc!$K$99:$K$109,0),1),#N/A)</f>
        <v>#N/A</v>
      </c>
    </row>
    <row r="1373" spans="2:6" x14ac:dyDescent="0.2">
      <c r="B1373" s="6">
        <f t="shared" si="25"/>
        <v>1370</v>
      </c>
      <c r="C1373" s="81" t="e">
        <f ca="1">VLOOKUP(B1373,Calc!$K$66:$L$76,2,FALSE)</f>
        <v>#N/A</v>
      </c>
      <c r="D1373" s="81" t="e">
        <f ca="1">VLOOKUP(B1373,Calc!$K$77:$L$87,2,FALSE)</f>
        <v>#N/A</v>
      </c>
      <c r="E1373" s="523" t="e">
        <f ca="1">VLOOKUP(B1373,Calc!$K$88:$L$98,2,FALSE)</f>
        <v>#N/A</v>
      </c>
      <c r="F1373" s="523" t="e">
        <f ca="1">IF(Errorhandling!$C$42,INDEX(Calc!$J$99:$J$109,MATCH(Display!B1373,Calc!$K$99:$K$109,0),1),#N/A)</f>
        <v>#N/A</v>
      </c>
    </row>
    <row r="1374" spans="2:6" x14ac:dyDescent="0.2">
      <c r="B1374" s="6">
        <f t="shared" si="25"/>
        <v>1371</v>
      </c>
      <c r="C1374" s="81" t="e">
        <f ca="1">VLOOKUP(B1374,Calc!$K$66:$L$76,2,FALSE)</f>
        <v>#N/A</v>
      </c>
      <c r="D1374" s="81" t="e">
        <f ca="1">VLOOKUP(B1374,Calc!$K$77:$L$87,2,FALSE)</f>
        <v>#N/A</v>
      </c>
      <c r="E1374" s="523" t="e">
        <f ca="1">VLOOKUP(B1374,Calc!$K$88:$L$98,2,FALSE)</f>
        <v>#N/A</v>
      </c>
      <c r="F1374" s="523" t="e">
        <f ca="1">IF(Errorhandling!$C$42,INDEX(Calc!$J$99:$J$109,MATCH(Display!B1374,Calc!$K$99:$K$109,0),1),#N/A)</f>
        <v>#N/A</v>
      </c>
    </row>
    <row r="1375" spans="2:6" x14ac:dyDescent="0.2">
      <c r="B1375" s="6">
        <f t="shared" si="25"/>
        <v>1372</v>
      </c>
      <c r="C1375" s="81" t="e">
        <f ca="1">VLOOKUP(B1375,Calc!$K$66:$L$76,2,FALSE)</f>
        <v>#N/A</v>
      </c>
      <c r="D1375" s="81" t="e">
        <f ca="1">VLOOKUP(B1375,Calc!$K$77:$L$87,2,FALSE)</f>
        <v>#N/A</v>
      </c>
      <c r="E1375" s="523" t="e">
        <f ca="1">VLOOKUP(B1375,Calc!$K$88:$L$98,2,FALSE)</f>
        <v>#N/A</v>
      </c>
      <c r="F1375" s="523" t="e">
        <f ca="1">IF(Errorhandling!$C$42,INDEX(Calc!$J$99:$J$109,MATCH(Display!B1375,Calc!$K$99:$K$109,0),1),#N/A)</f>
        <v>#N/A</v>
      </c>
    </row>
    <row r="1376" spans="2:6" x14ac:dyDescent="0.2">
      <c r="B1376" s="6">
        <f t="shared" si="25"/>
        <v>1373</v>
      </c>
      <c r="C1376" s="81" t="e">
        <f ca="1">VLOOKUP(B1376,Calc!$K$66:$L$76,2,FALSE)</f>
        <v>#N/A</v>
      </c>
      <c r="D1376" s="81" t="e">
        <f ca="1">VLOOKUP(B1376,Calc!$K$77:$L$87,2,FALSE)</f>
        <v>#N/A</v>
      </c>
      <c r="E1376" s="523" t="e">
        <f ca="1">VLOOKUP(B1376,Calc!$K$88:$L$98,2,FALSE)</f>
        <v>#N/A</v>
      </c>
      <c r="F1376" s="523" t="e">
        <f ca="1">IF(Errorhandling!$C$42,INDEX(Calc!$J$99:$J$109,MATCH(Display!B1376,Calc!$K$99:$K$109,0),1),#N/A)</f>
        <v>#N/A</v>
      </c>
    </row>
    <row r="1377" spans="2:6" x14ac:dyDescent="0.2">
      <c r="B1377" s="6">
        <f t="shared" si="25"/>
        <v>1374</v>
      </c>
      <c r="C1377" s="81" t="e">
        <f ca="1">VLOOKUP(B1377,Calc!$K$66:$L$76,2,FALSE)</f>
        <v>#N/A</v>
      </c>
      <c r="D1377" s="81" t="e">
        <f ca="1">VLOOKUP(B1377,Calc!$K$77:$L$87,2,FALSE)</f>
        <v>#N/A</v>
      </c>
      <c r="E1377" s="523" t="e">
        <f ca="1">VLOOKUP(B1377,Calc!$K$88:$L$98,2,FALSE)</f>
        <v>#N/A</v>
      </c>
      <c r="F1377" s="523" t="e">
        <f ca="1">IF(Errorhandling!$C$42,INDEX(Calc!$J$99:$J$109,MATCH(Display!B1377,Calc!$K$99:$K$109,0),1),#N/A)</f>
        <v>#N/A</v>
      </c>
    </row>
    <row r="1378" spans="2:6" x14ac:dyDescent="0.2">
      <c r="B1378" s="6">
        <f t="shared" si="25"/>
        <v>1375</v>
      </c>
      <c r="C1378" s="81" t="e">
        <f ca="1">VLOOKUP(B1378,Calc!$K$66:$L$76,2,FALSE)</f>
        <v>#N/A</v>
      </c>
      <c r="D1378" s="81" t="e">
        <f ca="1">VLOOKUP(B1378,Calc!$K$77:$L$87,2,FALSE)</f>
        <v>#N/A</v>
      </c>
      <c r="E1378" s="523" t="e">
        <f ca="1">VLOOKUP(B1378,Calc!$K$88:$L$98,2,FALSE)</f>
        <v>#N/A</v>
      </c>
      <c r="F1378" s="523" t="e">
        <f ca="1">IF(Errorhandling!$C$42,INDEX(Calc!$J$99:$J$109,MATCH(Display!B1378,Calc!$K$99:$K$109,0),1),#N/A)</f>
        <v>#N/A</v>
      </c>
    </row>
    <row r="1379" spans="2:6" x14ac:dyDescent="0.2">
      <c r="B1379" s="6">
        <f t="shared" si="25"/>
        <v>1376</v>
      </c>
      <c r="C1379" s="81" t="e">
        <f ca="1">VLOOKUP(B1379,Calc!$K$66:$L$76,2,FALSE)</f>
        <v>#N/A</v>
      </c>
      <c r="D1379" s="81" t="e">
        <f ca="1">VLOOKUP(B1379,Calc!$K$77:$L$87,2,FALSE)</f>
        <v>#N/A</v>
      </c>
      <c r="E1379" s="523" t="e">
        <f ca="1">VLOOKUP(B1379,Calc!$K$88:$L$98,2,FALSE)</f>
        <v>#N/A</v>
      </c>
      <c r="F1379" s="523" t="e">
        <f ca="1">IF(Errorhandling!$C$42,INDEX(Calc!$J$99:$J$109,MATCH(Display!B1379,Calc!$K$99:$K$109,0),1),#N/A)</f>
        <v>#N/A</v>
      </c>
    </row>
    <row r="1380" spans="2:6" x14ac:dyDescent="0.2">
      <c r="B1380" s="6">
        <f t="shared" si="25"/>
        <v>1377</v>
      </c>
      <c r="C1380" s="81" t="e">
        <f ca="1">VLOOKUP(B1380,Calc!$K$66:$L$76,2,FALSE)</f>
        <v>#N/A</v>
      </c>
      <c r="D1380" s="81" t="e">
        <f ca="1">VLOOKUP(B1380,Calc!$K$77:$L$87,2,FALSE)</f>
        <v>#N/A</v>
      </c>
      <c r="E1380" s="523" t="e">
        <f ca="1">VLOOKUP(B1380,Calc!$K$88:$L$98,2,FALSE)</f>
        <v>#N/A</v>
      </c>
      <c r="F1380" s="523" t="e">
        <f ca="1">IF(Errorhandling!$C$42,INDEX(Calc!$J$99:$J$109,MATCH(Display!B1380,Calc!$K$99:$K$109,0),1),#N/A)</f>
        <v>#N/A</v>
      </c>
    </row>
    <row r="1381" spans="2:6" x14ac:dyDescent="0.2">
      <c r="B1381" s="6">
        <f t="shared" si="25"/>
        <v>1378</v>
      </c>
      <c r="C1381" s="81" t="e">
        <f ca="1">VLOOKUP(B1381,Calc!$K$66:$L$76,2,FALSE)</f>
        <v>#N/A</v>
      </c>
      <c r="D1381" s="81" t="e">
        <f ca="1">VLOOKUP(B1381,Calc!$K$77:$L$87,2,FALSE)</f>
        <v>#N/A</v>
      </c>
      <c r="E1381" s="523" t="e">
        <f ca="1">VLOOKUP(B1381,Calc!$K$88:$L$98,2,FALSE)</f>
        <v>#N/A</v>
      </c>
      <c r="F1381" s="523" t="e">
        <f ca="1">IF(Errorhandling!$C$42,INDEX(Calc!$J$99:$J$109,MATCH(Display!B1381,Calc!$K$99:$K$109,0),1),#N/A)</f>
        <v>#N/A</v>
      </c>
    </row>
    <row r="1382" spans="2:6" x14ac:dyDescent="0.2">
      <c r="B1382" s="6">
        <f t="shared" si="25"/>
        <v>1379</v>
      </c>
      <c r="C1382" s="81" t="e">
        <f ca="1">VLOOKUP(B1382,Calc!$K$66:$L$76,2,FALSE)</f>
        <v>#N/A</v>
      </c>
      <c r="D1382" s="81" t="e">
        <f ca="1">VLOOKUP(B1382,Calc!$K$77:$L$87,2,FALSE)</f>
        <v>#N/A</v>
      </c>
      <c r="E1382" s="523" t="e">
        <f ca="1">VLOOKUP(B1382,Calc!$K$88:$L$98,2,FALSE)</f>
        <v>#N/A</v>
      </c>
      <c r="F1382" s="523" t="e">
        <f ca="1">IF(Errorhandling!$C$42,INDEX(Calc!$J$99:$J$109,MATCH(Display!B1382,Calc!$K$99:$K$109,0),1),#N/A)</f>
        <v>#N/A</v>
      </c>
    </row>
    <row r="1383" spans="2:6" x14ac:dyDescent="0.2">
      <c r="B1383" s="6">
        <f t="shared" si="25"/>
        <v>1380</v>
      </c>
      <c r="C1383" s="81" t="e">
        <f ca="1">VLOOKUP(B1383,Calc!$K$66:$L$76,2,FALSE)</f>
        <v>#N/A</v>
      </c>
      <c r="D1383" s="81" t="e">
        <f ca="1">VLOOKUP(B1383,Calc!$K$77:$L$87,2,FALSE)</f>
        <v>#N/A</v>
      </c>
      <c r="E1383" s="523" t="e">
        <f ca="1">VLOOKUP(B1383,Calc!$K$88:$L$98,2,FALSE)</f>
        <v>#N/A</v>
      </c>
      <c r="F1383" s="523" t="e">
        <f ca="1">IF(Errorhandling!$C$42,INDEX(Calc!$J$99:$J$109,MATCH(Display!B1383,Calc!$K$99:$K$109,0),1),#N/A)</f>
        <v>#N/A</v>
      </c>
    </row>
    <row r="1384" spans="2:6" x14ac:dyDescent="0.2">
      <c r="B1384" s="6">
        <f t="shared" si="25"/>
        <v>1381</v>
      </c>
      <c r="C1384" s="81" t="e">
        <f ca="1">VLOOKUP(B1384,Calc!$K$66:$L$76,2,FALSE)</f>
        <v>#N/A</v>
      </c>
      <c r="D1384" s="81" t="e">
        <f ca="1">VLOOKUP(B1384,Calc!$K$77:$L$87,2,FALSE)</f>
        <v>#N/A</v>
      </c>
      <c r="E1384" s="523" t="e">
        <f ca="1">VLOOKUP(B1384,Calc!$K$88:$L$98,2,FALSE)</f>
        <v>#N/A</v>
      </c>
      <c r="F1384" s="523" t="e">
        <f ca="1">IF(Errorhandling!$C$42,INDEX(Calc!$J$99:$J$109,MATCH(Display!B1384,Calc!$K$99:$K$109,0),1),#N/A)</f>
        <v>#N/A</v>
      </c>
    </row>
    <row r="1385" spans="2:6" x14ac:dyDescent="0.2">
      <c r="B1385" s="6">
        <f t="shared" si="25"/>
        <v>1382</v>
      </c>
      <c r="C1385" s="81" t="e">
        <f ca="1">VLOOKUP(B1385,Calc!$K$66:$L$76,2,FALSE)</f>
        <v>#N/A</v>
      </c>
      <c r="D1385" s="81" t="e">
        <f ca="1">VLOOKUP(B1385,Calc!$K$77:$L$87,2,FALSE)</f>
        <v>#N/A</v>
      </c>
      <c r="E1385" s="523" t="e">
        <f ca="1">VLOOKUP(B1385,Calc!$K$88:$L$98,2,FALSE)</f>
        <v>#N/A</v>
      </c>
      <c r="F1385" s="523" t="e">
        <f ca="1">IF(Errorhandling!$C$42,INDEX(Calc!$J$99:$J$109,MATCH(Display!B1385,Calc!$K$99:$K$109,0),1),#N/A)</f>
        <v>#N/A</v>
      </c>
    </row>
    <row r="1386" spans="2:6" x14ac:dyDescent="0.2">
      <c r="B1386" s="6">
        <f t="shared" si="25"/>
        <v>1383</v>
      </c>
      <c r="C1386" s="81" t="e">
        <f ca="1">VLOOKUP(B1386,Calc!$K$66:$L$76,2,FALSE)</f>
        <v>#N/A</v>
      </c>
      <c r="D1386" s="81" t="e">
        <f ca="1">VLOOKUP(B1386,Calc!$K$77:$L$87,2,FALSE)</f>
        <v>#N/A</v>
      </c>
      <c r="E1386" s="523" t="e">
        <f ca="1">VLOOKUP(B1386,Calc!$K$88:$L$98,2,FALSE)</f>
        <v>#N/A</v>
      </c>
      <c r="F1386" s="523" t="e">
        <f ca="1">IF(Errorhandling!$C$42,INDEX(Calc!$J$99:$J$109,MATCH(Display!B1386,Calc!$K$99:$K$109,0),1),#N/A)</f>
        <v>#N/A</v>
      </c>
    </row>
    <row r="1387" spans="2:6" x14ac:dyDescent="0.2">
      <c r="B1387" s="6">
        <f t="shared" si="25"/>
        <v>1384</v>
      </c>
      <c r="C1387" s="81" t="e">
        <f ca="1">VLOOKUP(B1387,Calc!$K$66:$L$76,2,FALSE)</f>
        <v>#N/A</v>
      </c>
      <c r="D1387" s="81" t="e">
        <f ca="1">VLOOKUP(B1387,Calc!$K$77:$L$87,2,FALSE)</f>
        <v>#N/A</v>
      </c>
      <c r="E1387" s="523" t="e">
        <f ca="1">VLOOKUP(B1387,Calc!$K$88:$L$98,2,FALSE)</f>
        <v>#N/A</v>
      </c>
      <c r="F1387" s="523" t="e">
        <f ca="1">IF(Errorhandling!$C$42,INDEX(Calc!$J$99:$J$109,MATCH(Display!B1387,Calc!$K$99:$K$109,0),1),#N/A)</f>
        <v>#N/A</v>
      </c>
    </row>
    <row r="1388" spans="2:6" x14ac:dyDescent="0.2">
      <c r="B1388" s="6">
        <f t="shared" si="25"/>
        <v>1385</v>
      </c>
      <c r="C1388" s="81" t="e">
        <f ca="1">VLOOKUP(B1388,Calc!$K$66:$L$76,2,FALSE)</f>
        <v>#N/A</v>
      </c>
      <c r="D1388" s="81" t="e">
        <f ca="1">VLOOKUP(B1388,Calc!$K$77:$L$87,2,FALSE)</f>
        <v>#N/A</v>
      </c>
      <c r="E1388" s="523" t="e">
        <f ca="1">VLOOKUP(B1388,Calc!$K$88:$L$98,2,FALSE)</f>
        <v>#N/A</v>
      </c>
      <c r="F1388" s="523" t="e">
        <f ca="1">IF(Errorhandling!$C$42,INDEX(Calc!$J$99:$J$109,MATCH(Display!B1388,Calc!$K$99:$K$109,0),1),#N/A)</f>
        <v>#N/A</v>
      </c>
    </row>
    <row r="1389" spans="2:6" x14ac:dyDescent="0.2">
      <c r="B1389" s="6">
        <f t="shared" si="25"/>
        <v>1386</v>
      </c>
      <c r="C1389" s="81" t="e">
        <f ca="1">VLOOKUP(B1389,Calc!$K$66:$L$76,2,FALSE)</f>
        <v>#N/A</v>
      </c>
      <c r="D1389" s="81" t="e">
        <f ca="1">VLOOKUP(B1389,Calc!$K$77:$L$87,2,FALSE)</f>
        <v>#N/A</v>
      </c>
      <c r="E1389" s="523" t="e">
        <f ca="1">VLOOKUP(B1389,Calc!$K$88:$L$98,2,FALSE)</f>
        <v>#N/A</v>
      </c>
      <c r="F1389" s="523" t="e">
        <f ca="1">IF(Errorhandling!$C$42,INDEX(Calc!$J$99:$J$109,MATCH(Display!B1389,Calc!$K$99:$K$109,0),1),#N/A)</f>
        <v>#N/A</v>
      </c>
    </row>
    <row r="1390" spans="2:6" x14ac:dyDescent="0.2">
      <c r="B1390" s="6">
        <f t="shared" si="25"/>
        <v>1387</v>
      </c>
      <c r="C1390" s="81" t="e">
        <f ca="1">VLOOKUP(B1390,Calc!$K$66:$L$76,2,FALSE)</f>
        <v>#N/A</v>
      </c>
      <c r="D1390" s="81" t="e">
        <f ca="1">VLOOKUP(B1390,Calc!$K$77:$L$87,2,FALSE)</f>
        <v>#N/A</v>
      </c>
      <c r="E1390" s="523" t="e">
        <f ca="1">VLOOKUP(B1390,Calc!$K$88:$L$98,2,FALSE)</f>
        <v>#N/A</v>
      </c>
      <c r="F1390" s="523" t="e">
        <f ca="1">IF(Errorhandling!$C$42,INDEX(Calc!$J$99:$J$109,MATCH(Display!B1390,Calc!$K$99:$K$109,0),1),#N/A)</f>
        <v>#N/A</v>
      </c>
    </row>
    <row r="1391" spans="2:6" x14ac:dyDescent="0.2">
      <c r="B1391" s="6">
        <f t="shared" si="25"/>
        <v>1388</v>
      </c>
      <c r="C1391" s="81" t="e">
        <f ca="1">VLOOKUP(B1391,Calc!$K$66:$L$76,2,FALSE)</f>
        <v>#N/A</v>
      </c>
      <c r="D1391" s="81" t="e">
        <f ca="1">VLOOKUP(B1391,Calc!$K$77:$L$87,2,FALSE)</f>
        <v>#N/A</v>
      </c>
      <c r="E1391" s="523" t="e">
        <f ca="1">VLOOKUP(B1391,Calc!$K$88:$L$98,2,FALSE)</f>
        <v>#N/A</v>
      </c>
      <c r="F1391" s="523" t="e">
        <f ca="1">IF(Errorhandling!$C$42,INDEX(Calc!$J$99:$J$109,MATCH(Display!B1391,Calc!$K$99:$K$109,0),1),#N/A)</f>
        <v>#N/A</v>
      </c>
    </row>
    <row r="1392" spans="2:6" x14ac:dyDescent="0.2">
      <c r="B1392" s="6">
        <f t="shared" si="25"/>
        <v>1389</v>
      </c>
      <c r="C1392" s="81" t="e">
        <f ca="1">VLOOKUP(B1392,Calc!$K$66:$L$76,2,FALSE)</f>
        <v>#N/A</v>
      </c>
      <c r="D1392" s="81" t="e">
        <f ca="1">VLOOKUP(B1392,Calc!$K$77:$L$87,2,FALSE)</f>
        <v>#N/A</v>
      </c>
      <c r="E1392" s="523" t="e">
        <f ca="1">VLOOKUP(B1392,Calc!$K$88:$L$98,2,FALSE)</f>
        <v>#N/A</v>
      </c>
      <c r="F1392" s="523" t="e">
        <f ca="1">IF(Errorhandling!$C$42,INDEX(Calc!$J$99:$J$109,MATCH(Display!B1392,Calc!$K$99:$K$109,0),1),#N/A)</f>
        <v>#N/A</v>
      </c>
    </row>
    <row r="1393" spans="2:6" x14ac:dyDescent="0.2">
      <c r="B1393" s="6">
        <f t="shared" si="25"/>
        <v>1390</v>
      </c>
      <c r="C1393" s="81" t="e">
        <f ca="1">VLOOKUP(B1393,Calc!$K$66:$L$76,2,FALSE)</f>
        <v>#N/A</v>
      </c>
      <c r="D1393" s="81" t="e">
        <f ca="1">VLOOKUP(B1393,Calc!$K$77:$L$87,2,FALSE)</f>
        <v>#N/A</v>
      </c>
      <c r="E1393" s="523" t="e">
        <f ca="1">VLOOKUP(B1393,Calc!$K$88:$L$98,2,FALSE)</f>
        <v>#N/A</v>
      </c>
      <c r="F1393" s="523" t="e">
        <f ca="1">IF(Errorhandling!$C$42,INDEX(Calc!$J$99:$J$109,MATCH(Display!B1393,Calc!$K$99:$K$109,0),1),#N/A)</f>
        <v>#N/A</v>
      </c>
    </row>
    <row r="1394" spans="2:6" x14ac:dyDescent="0.2">
      <c r="B1394" s="6">
        <f t="shared" si="25"/>
        <v>1391</v>
      </c>
      <c r="C1394" s="81" t="e">
        <f ca="1">VLOOKUP(B1394,Calc!$K$66:$L$76,2,FALSE)</f>
        <v>#N/A</v>
      </c>
      <c r="D1394" s="81" t="e">
        <f ca="1">VLOOKUP(B1394,Calc!$K$77:$L$87,2,FALSE)</f>
        <v>#N/A</v>
      </c>
      <c r="E1394" s="523" t="e">
        <f ca="1">VLOOKUP(B1394,Calc!$K$88:$L$98,2,FALSE)</f>
        <v>#N/A</v>
      </c>
      <c r="F1394" s="523" t="e">
        <f ca="1">IF(Errorhandling!$C$42,INDEX(Calc!$J$99:$J$109,MATCH(Display!B1394,Calc!$K$99:$K$109,0),1),#N/A)</f>
        <v>#N/A</v>
      </c>
    </row>
    <row r="1395" spans="2:6" x14ac:dyDescent="0.2">
      <c r="B1395" s="6">
        <f t="shared" si="25"/>
        <v>1392</v>
      </c>
      <c r="C1395" s="81" t="e">
        <f ca="1">VLOOKUP(B1395,Calc!$K$66:$L$76,2,FALSE)</f>
        <v>#N/A</v>
      </c>
      <c r="D1395" s="81" t="e">
        <f ca="1">VLOOKUP(B1395,Calc!$K$77:$L$87,2,FALSE)</f>
        <v>#N/A</v>
      </c>
      <c r="E1395" s="523" t="e">
        <f ca="1">VLOOKUP(B1395,Calc!$K$88:$L$98,2,FALSE)</f>
        <v>#N/A</v>
      </c>
      <c r="F1395" s="523" t="e">
        <f ca="1">IF(Errorhandling!$C$42,INDEX(Calc!$J$99:$J$109,MATCH(Display!B1395,Calc!$K$99:$K$109,0),1),#N/A)</f>
        <v>#N/A</v>
      </c>
    </row>
    <row r="1396" spans="2:6" x14ac:dyDescent="0.2">
      <c r="B1396" s="6">
        <f t="shared" si="25"/>
        <v>1393</v>
      </c>
      <c r="C1396" s="81" t="e">
        <f ca="1">VLOOKUP(B1396,Calc!$K$66:$L$76,2,FALSE)</f>
        <v>#N/A</v>
      </c>
      <c r="D1396" s="81" t="e">
        <f ca="1">VLOOKUP(B1396,Calc!$K$77:$L$87,2,FALSE)</f>
        <v>#N/A</v>
      </c>
      <c r="E1396" s="523" t="e">
        <f ca="1">VLOOKUP(B1396,Calc!$K$88:$L$98,2,FALSE)</f>
        <v>#N/A</v>
      </c>
      <c r="F1396" s="523" t="e">
        <f ca="1">IF(Errorhandling!$C$42,INDEX(Calc!$J$99:$J$109,MATCH(Display!B1396,Calc!$K$99:$K$109,0),1),#N/A)</f>
        <v>#N/A</v>
      </c>
    </row>
    <row r="1397" spans="2:6" x14ac:dyDescent="0.2">
      <c r="B1397" s="6">
        <f t="shared" si="25"/>
        <v>1394</v>
      </c>
      <c r="C1397" s="81" t="e">
        <f ca="1">VLOOKUP(B1397,Calc!$K$66:$L$76,2,FALSE)</f>
        <v>#N/A</v>
      </c>
      <c r="D1397" s="81" t="e">
        <f ca="1">VLOOKUP(B1397,Calc!$K$77:$L$87,2,FALSE)</f>
        <v>#N/A</v>
      </c>
      <c r="E1397" s="523" t="e">
        <f ca="1">VLOOKUP(B1397,Calc!$K$88:$L$98,2,FALSE)</f>
        <v>#N/A</v>
      </c>
      <c r="F1397" s="523" t="e">
        <f ca="1">IF(Errorhandling!$C$42,INDEX(Calc!$J$99:$J$109,MATCH(Display!B1397,Calc!$K$99:$K$109,0),1),#N/A)</f>
        <v>#N/A</v>
      </c>
    </row>
    <row r="1398" spans="2:6" x14ac:dyDescent="0.2">
      <c r="B1398" s="6">
        <f t="shared" si="25"/>
        <v>1395</v>
      </c>
      <c r="C1398" s="81" t="e">
        <f ca="1">VLOOKUP(B1398,Calc!$K$66:$L$76,2,FALSE)</f>
        <v>#N/A</v>
      </c>
      <c r="D1398" s="81" t="e">
        <f ca="1">VLOOKUP(B1398,Calc!$K$77:$L$87,2,FALSE)</f>
        <v>#N/A</v>
      </c>
      <c r="E1398" s="523" t="e">
        <f ca="1">VLOOKUP(B1398,Calc!$K$88:$L$98,2,FALSE)</f>
        <v>#N/A</v>
      </c>
      <c r="F1398" s="523" t="e">
        <f ca="1">IF(Errorhandling!$C$42,INDEX(Calc!$J$99:$J$109,MATCH(Display!B1398,Calc!$K$99:$K$109,0),1),#N/A)</f>
        <v>#N/A</v>
      </c>
    </row>
    <row r="1399" spans="2:6" x14ac:dyDescent="0.2">
      <c r="B1399" s="6">
        <f t="shared" si="25"/>
        <v>1396</v>
      </c>
      <c r="C1399" s="81" t="e">
        <f ca="1">VLOOKUP(B1399,Calc!$K$66:$L$76,2,FALSE)</f>
        <v>#N/A</v>
      </c>
      <c r="D1399" s="81" t="e">
        <f ca="1">VLOOKUP(B1399,Calc!$K$77:$L$87,2,FALSE)</f>
        <v>#N/A</v>
      </c>
      <c r="E1399" s="523" t="e">
        <f ca="1">VLOOKUP(B1399,Calc!$K$88:$L$98,2,FALSE)</f>
        <v>#N/A</v>
      </c>
      <c r="F1399" s="523" t="e">
        <f ca="1">IF(Errorhandling!$C$42,INDEX(Calc!$J$99:$J$109,MATCH(Display!B1399,Calc!$K$99:$K$109,0),1),#N/A)</f>
        <v>#N/A</v>
      </c>
    </row>
    <row r="1400" spans="2:6" x14ac:dyDescent="0.2">
      <c r="B1400" s="6">
        <f t="shared" si="25"/>
        <v>1397</v>
      </c>
      <c r="C1400" s="81" t="e">
        <f ca="1">VLOOKUP(B1400,Calc!$K$66:$L$76,2,FALSE)</f>
        <v>#N/A</v>
      </c>
      <c r="D1400" s="81" t="e">
        <f ca="1">VLOOKUP(B1400,Calc!$K$77:$L$87,2,FALSE)</f>
        <v>#N/A</v>
      </c>
      <c r="E1400" s="523" t="e">
        <f ca="1">VLOOKUP(B1400,Calc!$K$88:$L$98,2,FALSE)</f>
        <v>#N/A</v>
      </c>
      <c r="F1400" s="523" t="e">
        <f ca="1">IF(Errorhandling!$C$42,INDEX(Calc!$J$99:$J$109,MATCH(Display!B1400,Calc!$K$99:$K$109,0),1),#N/A)</f>
        <v>#N/A</v>
      </c>
    </row>
    <row r="1401" spans="2:6" x14ac:dyDescent="0.2">
      <c r="B1401" s="6">
        <f t="shared" si="25"/>
        <v>1398</v>
      </c>
      <c r="C1401" s="81" t="e">
        <f ca="1">VLOOKUP(B1401,Calc!$K$66:$L$76,2,FALSE)</f>
        <v>#N/A</v>
      </c>
      <c r="D1401" s="81" t="e">
        <f ca="1">VLOOKUP(B1401,Calc!$K$77:$L$87,2,FALSE)</f>
        <v>#N/A</v>
      </c>
      <c r="E1401" s="523" t="e">
        <f ca="1">VLOOKUP(B1401,Calc!$K$88:$L$98,2,FALSE)</f>
        <v>#N/A</v>
      </c>
      <c r="F1401" s="523" t="e">
        <f ca="1">IF(Errorhandling!$C$42,INDEX(Calc!$J$99:$J$109,MATCH(Display!B1401,Calc!$K$99:$K$109,0),1),#N/A)</f>
        <v>#N/A</v>
      </c>
    </row>
    <row r="1402" spans="2:6" x14ac:dyDescent="0.2">
      <c r="B1402" s="6">
        <f t="shared" si="25"/>
        <v>1399</v>
      </c>
      <c r="C1402" s="81" t="e">
        <f ca="1">VLOOKUP(B1402,Calc!$K$66:$L$76,2,FALSE)</f>
        <v>#N/A</v>
      </c>
      <c r="D1402" s="81" t="e">
        <f ca="1">VLOOKUP(B1402,Calc!$K$77:$L$87,2,FALSE)</f>
        <v>#N/A</v>
      </c>
      <c r="E1402" s="523" t="e">
        <f ca="1">VLOOKUP(B1402,Calc!$K$88:$L$98,2,FALSE)</f>
        <v>#N/A</v>
      </c>
      <c r="F1402" s="523" t="e">
        <f ca="1">IF(Errorhandling!$C$42,INDEX(Calc!$J$99:$J$109,MATCH(Display!B1402,Calc!$K$99:$K$109,0),1),#N/A)</f>
        <v>#N/A</v>
      </c>
    </row>
    <row r="1403" spans="2:6" x14ac:dyDescent="0.2">
      <c r="B1403" s="6">
        <f t="shared" si="25"/>
        <v>1400</v>
      </c>
      <c r="C1403" s="81" t="e">
        <f ca="1">VLOOKUP(B1403,Calc!$K$66:$L$76,2,FALSE)</f>
        <v>#N/A</v>
      </c>
      <c r="D1403" s="81" t="e">
        <f ca="1">VLOOKUP(B1403,Calc!$K$77:$L$87,2,FALSE)</f>
        <v>#N/A</v>
      </c>
      <c r="E1403" s="523" t="e">
        <f ca="1">VLOOKUP(B1403,Calc!$K$88:$L$98,2,FALSE)</f>
        <v>#N/A</v>
      </c>
      <c r="F1403" s="523" t="e">
        <f ca="1">IF(Errorhandling!$C$42,INDEX(Calc!$J$99:$J$109,MATCH(Display!B1403,Calc!$K$99:$K$109,0),1),#N/A)</f>
        <v>#N/A</v>
      </c>
    </row>
    <row r="1404" spans="2:6" x14ac:dyDescent="0.2">
      <c r="B1404" s="6">
        <f t="shared" si="25"/>
        <v>1401</v>
      </c>
      <c r="C1404" s="81" t="e">
        <f ca="1">VLOOKUP(B1404,Calc!$K$66:$L$76,2,FALSE)</f>
        <v>#N/A</v>
      </c>
      <c r="D1404" s="81" t="e">
        <f ca="1">VLOOKUP(B1404,Calc!$K$77:$L$87,2,FALSE)</f>
        <v>#N/A</v>
      </c>
      <c r="E1404" s="523" t="e">
        <f ca="1">VLOOKUP(B1404,Calc!$K$88:$L$98,2,FALSE)</f>
        <v>#N/A</v>
      </c>
      <c r="F1404" s="523" t="e">
        <f ca="1">IF(Errorhandling!$C$42,INDEX(Calc!$J$99:$J$109,MATCH(Display!B1404,Calc!$K$99:$K$109,0),1),#N/A)</f>
        <v>#N/A</v>
      </c>
    </row>
    <row r="1405" spans="2:6" x14ac:dyDescent="0.2">
      <c r="B1405" s="6">
        <f t="shared" si="25"/>
        <v>1402</v>
      </c>
      <c r="C1405" s="81" t="e">
        <f ca="1">VLOOKUP(B1405,Calc!$K$66:$L$76,2,FALSE)</f>
        <v>#N/A</v>
      </c>
      <c r="D1405" s="81" t="e">
        <f ca="1">VLOOKUP(B1405,Calc!$K$77:$L$87,2,FALSE)</f>
        <v>#N/A</v>
      </c>
      <c r="E1405" s="523" t="e">
        <f ca="1">VLOOKUP(B1405,Calc!$K$88:$L$98,2,FALSE)</f>
        <v>#N/A</v>
      </c>
      <c r="F1405" s="523" t="e">
        <f ca="1">IF(Errorhandling!$C$42,INDEX(Calc!$J$99:$J$109,MATCH(Display!B1405,Calc!$K$99:$K$109,0),1),#N/A)</f>
        <v>#N/A</v>
      </c>
    </row>
    <row r="1406" spans="2:6" x14ac:dyDescent="0.2">
      <c r="B1406" s="6">
        <f t="shared" si="25"/>
        <v>1403</v>
      </c>
      <c r="C1406" s="81" t="e">
        <f ca="1">VLOOKUP(B1406,Calc!$K$66:$L$76,2,FALSE)</f>
        <v>#N/A</v>
      </c>
      <c r="D1406" s="81" t="e">
        <f ca="1">VLOOKUP(B1406,Calc!$K$77:$L$87,2,FALSE)</f>
        <v>#N/A</v>
      </c>
      <c r="E1406" s="523" t="e">
        <f ca="1">VLOOKUP(B1406,Calc!$K$88:$L$98,2,FALSE)</f>
        <v>#N/A</v>
      </c>
      <c r="F1406" s="523" t="e">
        <f ca="1">IF(Errorhandling!$C$42,INDEX(Calc!$J$99:$J$109,MATCH(Display!B1406,Calc!$K$99:$K$109,0),1),#N/A)</f>
        <v>#N/A</v>
      </c>
    </row>
    <row r="1407" spans="2:6" x14ac:dyDescent="0.2">
      <c r="B1407" s="6">
        <f t="shared" si="25"/>
        <v>1404</v>
      </c>
      <c r="C1407" s="81" t="e">
        <f ca="1">VLOOKUP(B1407,Calc!$K$66:$L$76,2,FALSE)</f>
        <v>#N/A</v>
      </c>
      <c r="D1407" s="81" t="e">
        <f ca="1">VLOOKUP(B1407,Calc!$K$77:$L$87,2,FALSE)</f>
        <v>#N/A</v>
      </c>
      <c r="E1407" s="523" t="e">
        <f ca="1">VLOOKUP(B1407,Calc!$K$88:$L$98,2,FALSE)</f>
        <v>#N/A</v>
      </c>
      <c r="F1407" s="523" t="e">
        <f ca="1">IF(Errorhandling!$C$42,INDEX(Calc!$J$99:$J$109,MATCH(Display!B1407,Calc!$K$99:$K$109,0),1),#N/A)</f>
        <v>#N/A</v>
      </c>
    </row>
    <row r="1408" spans="2:6" x14ac:dyDescent="0.2">
      <c r="B1408" s="6">
        <f t="shared" si="25"/>
        <v>1405</v>
      </c>
      <c r="C1408" s="81" t="e">
        <f ca="1">VLOOKUP(B1408,Calc!$K$66:$L$76,2,FALSE)</f>
        <v>#N/A</v>
      </c>
      <c r="D1408" s="81" t="e">
        <f ca="1">VLOOKUP(B1408,Calc!$K$77:$L$87,2,FALSE)</f>
        <v>#N/A</v>
      </c>
      <c r="E1408" s="523" t="e">
        <f ca="1">VLOOKUP(B1408,Calc!$K$88:$L$98,2,FALSE)</f>
        <v>#N/A</v>
      </c>
      <c r="F1408" s="523" t="e">
        <f ca="1">IF(Errorhandling!$C$42,INDEX(Calc!$J$99:$J$109,MATCH(Display!B1408,Calc!$K$99:$K$109,0),1),#N/A)</f>
        <v>#N/A</v>
      </c>
    </row>
    <row r="1409" spans="2:6" x14ac:dyDescent="0.2">
      <c r="B1409" s="6">
        <f t="shared" si="25"/>
        <v>1406</v>
      </c>
      <c r="C1409" s="81" t="e">
        <f ca="1">VLOOKUP(B1409,Calc!$K$66:$L$76,2,FALSE)</f>
        <v>#N/A</v>
      </c>
      <c r="D1409" s="81" t="e">
        <f ca="1">VLOOKUP(B1409,Calc!$K$77:$L$87,2,FALSE)</f>
        <v>#N/A</v>
      </c>
      <c r="E1409" s="523" t="e">
        <f ca="1">VLOOKUP(B1409,Calc!$K$88:$L$98,2,FALSE)</f>
        <v>#N/A</v>
      </c>
      <c r="F1409" s="523" t="e">
        <f ca="1">IF(Errorhandling!$C$42,INDEX(Calc!$J$99:$J$109,MATCH(Display!B1409,Calc!$K$99:$K$109,0),1),#N/A)</f>
        <v>#N/A</v>
      </c>
    </row>
    <row r="1410" spans="2:6" x14ac:dyDescent="0.2">
      <c r="B1410" s="6">
        <f t="shared" si="25"/>
        <v>1407</v>
      </c>
      <c r="C1410" s="81" t="e">
        <f ca="1">VLOOKUP(B1410,Calc!$K$66:$L$76,2,FALSE)</f>
        <v>#N/A</v>
      </c>
      <c r="D1410" s="81" t="e">
        <f ca="1">VLOOKUP(B1410,Calc!$K$77:$L$87,2,FALSE)</f>
        <v>#N/A</v>
      </c>
      <c r="E1410" s="523" t="e">
        <f ca="1">VLOOKUP(B1410,Calc!$K$88:$L$98,2,FALSE)</f>
        <v>#N/A</v>
      </c>
      <c r="F1410" s="523" t="e">
        <f ca="1">IF(Errorhandling!$C$42,INDEX(Calc!$J$99:$J$109,MATCH(Display!B1410,Calc!$K$99:$K$109,0),1),#N/A)</f>
        <v>#N/A</v>
      </c>
    </row>
    <row r="1411" spans="2:6" x14ac:dyDescent="0.2">
      <c r="B1411" s="6">
        <f t="shared" si="25"/>
        <v>1408</v>
      </c>
      <c r="C1411" s="81" t="e">
        <f ca="1">VLOOKUP(B1411,Calc!$K$66:$L$76,2,FALSE)</f>
        <v>#N/A</v>
      </c>
      <c r="D1411" s="81" t="e">
        <f ca="1">VLOOKUP(B1411,Calc!$K$77:$L$87,2,FALSE)</f>
        <v>#N/A</v>
      </c>
      <c r="E1411" s="523" t="e">
        <f ca="1">VLOOKUP(B1411,Calc!$K$88:$L$98,2,FALSE)</f>
        <v>#N/A</v>
      </c>
      <c r="F1411" s="523" t="e">
        <f ca="1">IF(Errorhandling!$C$42,INDEX(Calc!$J$99:$J$109,MATCH(Display!B1411,Calc!$K$99:$K$109,0),1),#N/A)</f>
        <v>#N/A</v>
      </c>
    </row>
    <row r="1412" spans="2:6" x14ac:dyDescent="0.2">
      <c r="B1412" s="6">
        <f t="shared" si="25"/>
        <v>1409</v>
      </c>
      <c r="C1412" s="81" t="e">
        <f ca="1">VLOOKUP(B1412,Calc!$K$66:$L$76,2,FALSE)</f>
        <v>#N/A</v>
      </c>
      <c r="D1412" s="81" t="e">
        <f ca="1">VLOOKUP(B1412,Calc!$K$77:$L$87,2,FALSE)</f>
        <v>#N/A</v>
      </c>
      <c r="E1412" s="523" t="e">
        <f ca="1">VLOOKUP(B1412,Calc!$K$88:$L$98,2,FALSE)</f>
        <v>#N/A</v>
      </c>
      <c r="F1412" s="523" t="e">
        <f ca="1">IF(Errorhandling!$C$42,INDEX(Calc!$J$99:$J$109,MATCH(Display!B1412,Calc!$K$99:$K$109,0),1),#N/A)</f>
        <v>#N/A</v>
      </c>
    </row>
    <row r="1413" spans="2:6" x14ac:dyDescent="0.2">
      <c r="B1413" s="6">
        <f t="shared" si="25"/>
        <v>1410</v>
      </c>
      <c r="C1413" s="81" t="e">
        <f ca="1">VLOOKUP(B1413,Calc!$K$66:$L$76,2,FALSE)</f>
        <v>#N/A</v>
      </c>
      <c r="D1413" s="81" t="e">
        <f ca="1">VLOOKUP(B1413,Calc!$K$77:$L$87,2,FALSE)</f>
        <v>#N/A</v>
      </c>
      <c r="E1413" s="523" t="e">
        <f ca="1">VLOOKUP(B1413,Calc!$K$88:$L$98,2,FALSE)</f>
        <v>#N/A</v>
      </c>
      <c r="F1413" s="523" t="e">
        <f ca="1">IF(Errorhandling!$C$42,INDEX(Calc!$J$99:$J$109,MATCH(Display!B1413,Calc!$K$99:$K$109,0),1),#N/A)</f>
        <v>#N/A</v>
      </c>
    </row>
    <row r="1414" spans="2:6" x14ac:dyDescent="0.2">
      <c r="B1414" s="6">
        <f t="shared" si="25"/>
        <v>1411</v>
      </c>
      <c r="C1414" s="81" t="e">
        <f ca="1">VLOOKUP(B1414,Calc!$K$66:$L$76,2,FALSE)</f>
        <v>#N/A</v>
      </c>
      <c r="D1414" s="81" t="e">
        <f ca="1">VLOOKUP(B1414,Calc!$K$77:$L$87,2,FALSE)</f>
        <v>#N/A</v>
      </c>
      <c r="E1414" s="523" t="e">
        <f ca="1">VLOOKUP(B1414,Calc!$K$88:$L$98,2,FALSE)</f>
        <v>#N/A</v>
      </c>
      <c r="F1414" s="523" t="e">
        <f ca="1">IF(Errorhandling!$C$42,INDEX(Calc!$J$99:$J$109,MATCH(Display!B1414,Calc!$K$99:$K$109,0),1),#N/A)</f>
        <v>#N/A</v>
      </c>
    </row>
    <row r="1415" spans="2:6" x14ac:dyDescent="0.2">
      <c r="B1415" s="6">
        <f t="shared" ref="B1415:B1478" si="26">1+B1414</f>
        <v>1412</v>
      </c>
      <c r="C1415" s="81" t="e">
        <f ca="1">VLOOKUP(B1415,Calc!$K$66:$L$76,2,FALSE)</f>
        <v>#N/A</v>
      </c>
      <c r="D1415" s="81" t="e">
        <f ca="1">VLOOKUP(B1415,Calc!$K$77:$L$87,2,FALSE)</f>
        <v>#N/A</v>
      </c>
      <c r="E1415" s="523" t="e">
        <f ca="1">VLOOKUP(B1415,Calc!$K$88:$L$98,2,FALSE)</f>
        <v>#N/A</v>
      </c>
      <c r="F1415" s="523" t="e">
        <f ca="1">IF(Errorhandling!$C$42,INDEX(Calc!$J$99:$J$109,MATCH(Display!B1415,Calc!$K$99:$K$109,0),1),#N/A)</f>
        <v>#N/A</v>
      </c>
    </row>
    <row r="1416" spans="2:6" x14ac:dyDescent="0.2">
      <c r="B1416" s="6">
        <f t="shared" si="26"/>
        <v>1413</v>
      </c>
      <c r="C1416" s="81" t="e">
        <f ca="1">VLOOKUP(B1416,Calc!$K$66:$L$76,2,FALSE)</f>
        <v>#N/A</v>
      </c>
      <c r="D1416" s="81" t="e">
        <f ca="1">VLOOKUP(B1416,Calc!$K$77:$L$87,2,FALSE)</f>
        <v>#N/A</v>
      </c>
      <c r="E1416" s="523" t="e">
        <f ca="1">VLOOKUP(B1416,Calc!$K$88:$L$98,2,FALSE)</f>
        <v>#N/A</v>
      </c>
      <c r="F1416" s="523" t="e">
        <f ca="1">IF(Errorhandling!$C$42,INDEX(Calc!$J$99:$J$109,MATCH(Display!B1416,Calc!$K$99:$K$109,0),1),#N/A)</f>
        <v>#N/A</v>
      </c>
    </row>
    <row r="1417" spans="2:6" x14ac:dyDescent="0.2">
      <c r="B1417" s="6">
        <f t="shared" si="26"/>
        <v>1414</v>
      </c>
      <c r="C1417" s="81" t="e">
        <f ca="1">VLOOKUP(B1417,Calc!$K$66:$L$76,2,FALSE)</f>
        <v>#N/A</v>
      </c>
      <c r="D1417" s="81" t="e">
        <f ca="1">VLOOKUP(B1417,Calc!$K$77:$L$87,2,FALSE)</f>
        <v>#N/A</v>
      </c>
      <c r="E1417" s="523" t="e">
        <f ca="1">VLOOKUP(B1417,Calc!$K$88:$L$98,2,FALSE)</f>
        <v>#N/A</v>
      </c>
      <c r="F1417" s="523" t="e">
        <f ca="1">IF(Errorhandling!$C$42,INDEX(Calc!$J$99:$J$109,MATCH(Display!B1417,Calc!$K$99:$K$109,0),1),#N/A)</f>
        <v>#N/A</v>
      </c>
    </row>
    <row r="1418" spans="2:6" x14ac:dyDescent="0.2">
      <c r="B1418" s="6">
        <f t="shared" si="26"/>
        <v>1415</v>
      </c>
      <c r="C1418" s="81" t="e">
        <f ca="1">VLOOKUP(B1418,Calc!$K$66:$L$76,2,FALSE)</f>
        <v>#N/A</v>
      </c>
      <c r="D1418" s="81" t="e">
        <f ca="1">VLOOKUP(B1418,Calc!$K$77:$L$87,2,FALSE)</f>
        <v>#N/A</v>
      </c>
      <c r="E1418" s="523" t="e">
        <f ca="1">VLOOKUP(B1418,Calc!$K$88:$L$98,2,FALSE)</f>
        <v>#N/A</v>
      </c>
      <c r="F1418" s="523" t="e">
        <f ca="1">IF(Errorhandling!$C$42,INDEX(Calc!$J$99:$J$109,MATCH(Display!B1418,Calc!$K$99:$K$109,0),1),#N/A)</f>
        <v>#N/A</v>
      </c>
    </row>
    <row r="1419" spans="2:6" x14ac:dyDescent="0.2">
      <c r="B1419" s="6">
        <f t="shared" si="26"/>
        <v>1416</v>
      </c>
      <c r="C1419" s="81" t="e">
        <f ca="1">VLOOKUP(B1419,Calc!$K$66:$L$76,2,FALSE)</f>
        <v>#N/A</v>
      </c>
      <c r="D1419" s="81" t="e">
        <f ca="1">VLOOKUP(B1419,Calc!$K$77:$L$87,2,FALSE)</f>
        <v>#N/A</v>
      </c>
      <c r="E1419" s="523" t="e">
        <f ca="1">VLOOKUP(B1419,Calc!$K$88:$L$98,2,FALSE)</f>
        <v>#N/A</v>
      </c>
      <c r="F1419" s="523" t="e">
        <f ca="1">IF(Errorhandling!$C$42,INDEX(Calc!$J$99:$J$109,MATCH(Display!B1419,Calc!$K$99:$K$109,0),1),#N/A)</f>
        <v>#N/A</v>
      </c>
    </row>
    <row r="1420" spans="2:6" x14ac:dyDescent="0.2">
      <c r="B1420" s="6">
        <f t="shared" si="26"/>
        <v>1417</v>
      </c>
      <c r="C1420" s="81" t="e">
        <f ca="1">VLOOKUP(B1420,Calc!$K$66:$L$76,2,FALSE)</f>
        <v>#N/A</v>
      </c>
      <c r="D1420" s="81" t="e">
        <f ca="1">VLOOKUP(B1420,Calc!$K$77:$L$87,2,FALSE)</f>
        <v>#N/A</v>
      </c>
      <c r="E1420" s="523" t="e">
        <f ca="1">VLOOKUP(B1420,Calc!$K$88:$L$98,2,FALSE)</f>
        <v>#N/A</v>
      </c>
      <c r="F1420" s="523" t="e">
        <f ca="1">IF(Errorhandling!$C$42,INDEX(Calc!$J$99:$J$109,MATCH(Display!B1420,Calc!$K$99:$K$109,0),1),#N/A)</f>
        <v>#N/A</v>
      </c>
    </row>
    <row r="1421" spans="2:6" x14ac:dyDescent="0.2">
      <c r="B1421" s="6">
        <f t="shared" si="26"/>
        <v>1418</v>
      </c>
      <c r="C1421" s="81" t="e">
        <f ca="1">VLOOKUP(B1421,Calc!$K$66:$L$76,2,FALSE)</f>
        <v>#N/A</v>
      </c>
      <c r="D1421" s="81" t="e">
        <f ca="1">VLOOKUP(B1421,Calc!$K$77:$L$87,2,FALSE)</f>
        <v>#N/A</v>
      </c>
      <c r="E1421" s="523" t="e">
        <f ca="1">VLOOKUP(B1421,Calc!$K$88:$L$98,2,FALSE)</f>
        <v>#N/A</v>
      </c>
      <c r="F1421" s="523" t="e">
        <f ca="1">IF(Errorhandling!$C$42,INDEX(Calc!$J$99:$J$109,MATCH(Display!B1421,Calc!$K$99:$K$109,0),1),#N/A)</f>
        <v>#N/A</v>
      </c>
    </row>
    <row r="1422" spans="2:6" x14ac:dyDescent="0.2">
      <c r="B1422" s="6">
        <f t="shared" si="26"/>
        <v>1419</v>
      </c>
      <c r="C1422" s="81" t="e">
        <f ca="1">VLOOKUP(B1422,Calc!$K$66:$L$76,2,FALSE)</f>
        <v>#N/A</v>
      </c>
      <c r="D1422" s="81" t="e">
        <f ca="1">VLOOKUP(B1422,Calc!$K$77:$L$87,2,FALSE)</f>
        <v>#N/A</v>
      </c>
      <c r="E1422" s="523" t="e">
        <f ca="1">VLOOKUP(B1422,Calc!$K$88:$L$98,2,FALSE)</f>
        <v>#N/A</v>
      </c>
      <c r="F1422" s="523" t="e">
        <f ca="1">IF(Errorhandling!$C$42,INDEX(Calc!$J$99:$J$109,MATCH(Display!B1422,Calc!$K$99:$K$109,0),1),#N/A)</f>
        <v>#N/A</v>
      </c>
    </row>
    <row r="1423" spans="2:6" x14ac:dyDescent="0.2">
      <c r="B1423" s="6">
        <f t="shared" si="26"/>
        <v>1420</v>
      </c>
      <c r="C1423" s="81" t="e">
        <f ca="1">VLOOKUP(B1423,Calc!$K$66:$L$76,2,FALSE)</f>
        <v>#N/A</v>
      </c>
      <c r="D1423" s="81" t="e">
        <f ca="1">VLOOKUP(B1423,Calc!$K$77:$L$87,2,FALSE)</f>
        <v>#N/A</v>
      </c>
      <c r="E1423" s="523" t="e">
        <f ca="1">VLOOKUP(B1423,Calc!$K$88:$L$98,2,FALSE)</f>
        <v>#N/A</v>
      </c>
      <c r="F1423" s="523" t="e">
        <f ca="1">IF(Errorhandling!$C$42,INDEX(Calc!$J$99:$J$109,MATCH(Display!B1423,Calc!$K$99:$K$109,0),1),#N/A)</f>
        <v>#N/A</v>
      </c>
    </row>
    <row r="1424" spans="2:6" x14ac:dyDescent="0.2">
      <c r="B1424" s="6">
        <f t="shared" si="26"/>
        <v>1421</v>
      </c>
      <c r="C1424" s="81" t="e">
        <f ca="1">VLOOKUP(B1424,Calc!$K$66:$L$76,2,FALSE)</f>
        <v>#N/A</v>
      </c>
      <c r="D1424" s="81" t="e">
        <f ca="1">VLOOKUP(B1424,Calc!$K$77:$L$87,2,FALSE)</f>
        <v>#N/A</v>
      </c>
      <c r="E1424" s="523" t="e">
        <f ca="1">VLOOKUP(B1424,Calc!$K$88:$L$98,2,FALSE)</f>
        <v>#N/A</v>
      </c>
      <c r="F1424" s="523" t="e">
        <f ca="1">IF(Errorhandling!$C$42,INDEX(Calc!$J$99:$J$109,MATCH(Display!B1424,Calc!$K$99:$K$109,0),1),#N/A)</f>
        <v>#N/A</v>
      </c>
    </row>
    <row r="1425" spans="2:6" x14ac:dyDescent="0.2">
      <c r="B1425" s="6">
        <f t="shared" si="26"/>
        <v>1422</v>
      </c>
      <c r="C1425" s="81" t="e">
        <f ca="1">VLOOKUP(B1425,Calc!$K$66:$L$76,2,FALSE)</f>
        <v>#N/A</v>
      </c>
      <c r="D1425" s="81" t="e">
        <f ca="1">VLOOKUP(B1425,Calc!$K$77:$L$87,2,FALSE)</f>
        <v>#N/A</v>
      </c>
      <c r="E1425" s="523" t="e">
        <f ca="1">VLOOKUP(B1425,Calc!$K$88:$L$98,2,FALSE)</f>
        <v>#N/A</v>
      </c>
      <c r="F1425" s="523" t="e">
        <f ca="1">IF(Errorhandling!$C$42,INDEX(Calc!$J$99:$J$109,MATCH(Display!B1425,Calc!$K$99:$K$109,0),1),#N/A)</f>
        <v>#N/A</v>
      </c>
    </row>
    <row r="1426" spans="2:6" x14ac:dyDescent="0.2">
      <c r="B1426" s="6">
        <f t="shared" si="26"/>
        <v>1423</v>
      </c>
      <c r="C1426" s="81" t="e">
        <f ca="1">VLOOKUP(B1426,Calc!$K$66:$L$76,2,FALSE)</f>
        <v>#N/A</v>
      </c>
      <c r="D1426" s="81" t="e">
        <f ca="1">VLOOKUP(B1426,Calc!$K$77:$L$87,2,FALSE)</f>
        <v>#N/A</v>
      </c>
      <c r="E1426" s="523" t="e">
        <f ca="1">VLOOKUP(B1426,Calc!$K$88:$L$98,2,FALSE)</f>
        <v>#N/A</v>
      </c>
      <c r="F1426" s="523" t="e">
        <f ca="1">IF(Errorhandling!$C$42,INDEX(Calc!$J$99:$J$109,MATCH(Display!B1426,Calc!$K$99:$K$109,0),1),#N/A)</f>
        <v>#N/A</v>
      </c>
    </row>
    <row r="1427" spans="2:6" x14ac:dyDescent="0.2">
      <c r="B1427" s="6">
        <f t="shared" si="26"/>
        <v>1424</v>
      </c>
      <c r="C1427" s="81" t="e">
        <f ca="1">VLOOKUP(B1427,Calc!$K$66:$L$76,2,FALSE)</f>
        <v>#N/A</v>
      </c>
      <c r="D1427" s="81" t="e">
        <f ca="1">VLOOKUP(B1427,Calc!$K$77:$L$87,2,FALSE)</f>
        <v>#N/A</v>
      </c>
      <c r="E1427" s="523" t="e">
        <f ca="1">VLOOKUP(B1427,Calc!$K$88:$L$98,2,FALSE)</f>
        <v>#N/A</v>
      </c>
      <c r="F1427" s="523" t="e">
        <f ca="1">IF(Errorhandling!$C$42,INDEX(Calc!$J$99:$J$109,MATCH(Display!B1427,Calc!$K$99:$K$109,0),1),#N/A)</f>
        <v>#N/A</v>
      </c>
    </row>
    <row r="1428" spans="2:6" x14ac:dyDescent="0.2">
      <c r="B1428" s="6">
        <f t="shared" si="26"/>
        <v>1425</v>
      </c>
      <c r="C1428" s="81" t="e">
        <f ca="1">VLOOKUP(B1428,Calc!$K$66:$L$76,2,FALSE)</f>
        <v>#N/A</v>
      </c>
      <c r="D1428" s="81" t="e">
        <f ca="1">VLOOKUP(B1428,Calc!$K$77:$L$87,2,FALSE)</f>
        <v>#N/A</v>
      </c>
      <c r="E1428" s="523" t="e">
        <f ca="1">VLOOKUP(B1428,Calc!$K$88:$L$98,2,FALSE)</f>
        <v>#N/A</v>
      </c>
      <c r="F1428" s="523" t="e">
        <f ca="1">IF(Errorhandling!$C$42,INDEX(Calc!$J$99:$J$109,MATCH(Display!B1428,Calc!$K$99:$K$109,0),1),#N/A)</f>
        <v>#N/A</v>
      </c>
    </row>
    <row r="1429" spans="2:6" x14ac:dyDescent="0.2">
      <c r="B1429" s="6">
        <f t="shared" si="26"/>
        <v>1426</v>
      </c>
      <c r="C1429" s="81" t="e">
        <f ca="1">VLOOKUP(B1429,Calc!$K$66:$L$76,2,FALSE)</f>
        <v>#N/A</v>
      </c>
      <c r="D1429" s="81" t="e">
        <f ca="1">VLOOKUP(B1429,Calc!$K$77:$L$87,2,FALSE)</f>
        <v>#N/A</v>
      </c>
      <c r="E1429" s="523" t="e">
        <f ca="1">VLOOKUP(B1429,Calc!$K$88:$L$98,2,FALSE)</f>
        <v>#N/A</v>
      </c>
      <c r="F1429" s="523" t="e">
        <f ca="1">IF(Errorhandling!$C$42,INDEX(Calc!$J$99:$J$109,MATCH(Display!B1429,Calc!$K$99:$K$109,0),1),#N/A)</f>
        <v>#N/A</v>
      </c>
    </row>
    <row r="1430" spans="2:6" x14ac:dyDescent="0.2">
      <c r="B1430" s="6">
        <f t="shared" si="26"/>
        <v>1427</v>
      </c>
      <c r="C1430" s="81" t="e">
        <f ca="1">VLOOKUP(B1430,Calc!$K$66:$L$76,2,FALSE)</f>
        <v>#N/A</v>
      </c>
      <c r="D1430" s="81" t="e">
        <f ca="1">VLOOKUP(B1430,Calc!$K$77:$L$87,2,FALSE)</f>
        <v>#N/A</v>
      </c>
      <c r="E1430" s="523" t="e">
        <f ca="1">VLOOKUP(B1430,Calc!$K$88:$L$98,2,FALSE)</f>
        <v>#N/A</v>
      </c>
      <c r="F1430" s="523" t="e">
        <f ca="1">IF(Errorhandling!$C$42,INDEX(Calc!$J$99:$J$109,MATCH(Display!B1430,Calc!$K$99:$K$109,0),1),#N/A)</f>
        <v>#N/A</v>
      </c>
    </row>
    <row r="1431" spans="2:6" x14ac:dyDescent="0.2">
      <c r="B1431" s="6">
        <f t="shared" si="26"/>
        <v>1428</v>
      </c>
      <c r="C1431" s="81" t="e">
        <f ca="1">VLOOKUP(B1431,Calc!$K$66:$L$76,2,FALSE)</f>
        <v>#N/A</v>
      </c>
      <c r="D1431" s="81" t="e">
        <f ca="1">VLOOKUP(B1431,Calc!$K$77:$L$87,2,FALSE)</f>
        <v>#N/A</v>
      </c>
      <c r="E1431" s="523" t="e">
        <f ca="1">VLOOKUP(B1431,Calc!$K$88:$L$98,2,FALSE)</f>
        <v>#N/A</v>
      </c>
      <c r="F1431" s="523" t="e">
        <f ca="1">IF(Errorhandling!$C$42,INDEX(Calc!$J$99:$J$109,MATCH(Display!B1431,Calc!$K$99:$K$109,0),1),#N/A)</f>
        <v>#N/A</v>
      </c>
    </row>
    <row r="1432" spans="2:6" x14ac:dyDescent="0.2">
      <c r="B1432" s="6">
        <f t="shared" si="26"/>
        <v>1429</v>
      </c>
      <c r="C1432" s="81" t="e">
        <f ca="1">VLOOKUP(B1432,Calc!$K$66:$L$76,2,FALSE)</f>
        <v>#N/A</v>
      </c>
      <c r="D1432" s="81" t="e">
        <f ca="1">VLOOKUP(B1432,Calc!$K$77:$L$87,2,FALSE)</f>
        <v>#N/A</v>
      </c>
      <c r="E1432" s="523" t="e">
        <f ca="1">VLOOKUP(B1432,Calc!$K$88:$L$98,2,FALSE)</f>
        <v>#N/A</v>
      </c>
      <c r="F1432" s="523" t="e">
        <f ca="1">IF(Errorhandling!$C$42,INDEX(Calc!$J$99:$J$109,MATCH(Display!B1432,Calc!$K$99:$K$109,0),1),#N/A)</f>
        <v>#N/A</v>
      </c>
    </row>
    <row r="1433" spans="2:6" x14ac:dyDescent="0.2">
      <c r="B1433" s="6">
        <f t="shared" si="26"/>
        <v>1430</v>
      </c>
      <c r="C1433" s="81" t="e">
        <f ca="1">VLOOKUP(B1433,Calc!$K$66:$L$76,2,FALSE)</f>
        <v>#N/A</v>
      </c>
      <c r="D1433" s="81" t="e">
        <f ca="1">VLOOKUP(B1433,Calc!$K$77:$L$87,2,FALSE)</f>
        <v>#N/A</v>
      </c>
      <c r="E1433" s="523" t="e">
        <f ca="1">VLOOKUP(B1433,Calc!$K$88:$L$98,2,FALSE)</f>
        <v>#N/A</v>
      </c>
      <c r="F1433" s="523" t="e">
        <f ca="1">IF(Errorhandling!$C$42,INDEX(Calc!$J$99:$J$109,MATCH(Display!B1433,Calc!$K$99:$K$109,0),1),#N/A)</f>
        <v>#N/A</v>
      </c>
    </row>
    <row r="1434" spans="2:6" x14ac:dyDescent="0.2">
      <c r="B1434" s="6">
        <f t="shared" si="26"/>
        <v>1431</v>
      </c>
      <c r="C1434" s="81" t="e">
        <f ca="1">VLOOKUP(B1434,Calc!$K$66:$L$76,2,FALSE)</f>
        <v>#N/A</v>
      </c>
      <c r="D1434" s="81" t="e">
        <f ca="1">VLOOKUP(B1434,Calc!$K$77:$L$87,2,FALSE)</f>
        <v>#N/A</v>
      </c>
      <c r="E1434" s="523" t="e">
        <f ca="1">VLOOKUP(B1434,Calc!$K$88:$L$98,2,FALSE)</f>
        <v>#N/A</v>
      </c>
      <c r="F1434" s="523" t="e">
        <f ca="1">IF(Errorhandling!$C$42,INDEX(Calc!$J$99:$J$109,MATCH(Display!B1434,Calc!$K$99:$K$109,0),1),#N/A)</f>
        <v>#N/A</v>
      </c>
    </row>
    <row r="1435" spans="2:6" x14ac:dyDescent="0.2">
      <c r="B1435" s="6">
        <f t="shared" si="26"/>
        <v>1432</v>
      </c>
      <c r="C1435" s="81" t="e">
        <f ca="1">VLOOKUP(B1435,Calc!$K$66:$L$76,2,FALSE)</f>
        <v>#N/A</v>
      </c>
      <c r="D1435" s="81" t="e">
        <f ca="1">VLOOKUP(B1435,Calc!$K$77:$L$87,2,FALSE)</f>
        <v>#N/A</v>
      </c>
      <c r="E1435" s="523" t="e">
        <f ca="1">VLOOKUP(B1435,Calc!$K$88:$L$98,2,FALSE)</f>
        <v>#N/A</v>
      </c>
      <c r="F1435" s="523" t="e">
        <f ca="1">IF(Errorhandling!$C$42,INDEX(Calc!$J$99:$J$109,MATCH(Display!B1435,Calc!$K$99:$K$109,0),1),#N/A)</f>
        <v>#N/A</v>
      </c>
    </row>
    <row r="1436" spans="2:6" x14ac:dyDescent="0.2">
      <c r="B1436" s="6">
        <f t="shared" si="26"/>
        <v>1433</v>
      </c>
      <c r="C1436" s="81" t="e">
        <f ca="1">VLOOKUP(B1436,Calc!$K$66:$L$76,2,FALSE)</f>
        <v>#N/A</v>
      </c>
      <c r="D1436" s="81" t="e">
        <f ca="1">VLOOKUP(B1436,Calc!$K$77:$L$87,2,FALSE)</f>
        <v>#N/A</v>
      </c>
      <c r="E1436" s="523" t="e">
        <f ca="1">VLOOKUP(B1436,Calc!$K$88:$L$98,2,FALSE)</f>
        <v>#N/A</v>
      </c>
      <c r="F1436" s="523" t="e">
        <f ca="1">IF(Errorhandling!$C$42,INDEX(Calc!$J$99:$J$109,MATCH(Display!B1436,Calc!$K$99:$K$109,0),1),#N/A)</f>
        <v>#N/A</v>
      </c>
    </row>
    <row r="1437" spans="2:6" x14ac:dyDescent="0.2">
      <c r="B1437" s="6">
        <f t="shared" si="26"/>
        <v>1434</v>
      </c>
      <c r="C1437" s="81" t="e">
        <f ca="1">VLOOKUP(B1437,Calc!$K$66:$L$76,2,FALSE)</f>
        <v>#N/A</v>
      </c>
      <c r="D1437" s="81" t="e">
        <f ca="1">VLOOKUP(B1437,Calc!$K$77:$L$87,2,FALSE)</f>
        <v>#N/A</v>
      </c>
      <c r="E1437" s="523" t="e">
        <f ca="1">VLOOKUP(B1437,Calc!$K$88:$L$98,2,FALSE)</f>
        <v>#N/A</v>
      </c>
      <c r="F1437" s="523" t="e">
        <f ca="1">IF(Errorhandling!$C$42,INDEX(Calc!$J$99:$J$109,MATCH(Display!B1437,Calc!$K$99:$K$109,0),1),#N/A)</f>
        <v>#N/A</v>
      </c>
    </row>
    <row r="1438" spans="2:6" x14ac:dyDescent="0.2">
      <c r="B1438" s="6">
        <f t="shared" si="26"/>
        <v>1435</v>
      </c>
      <c r="C1438" s="81" t="e">
        <f ca="1">VLOOKUP(B1438,Calc!$K$66:$L$76,2,FALSE)</f>
        <v>#N/A</v>
      </c>
      <c r="D1438" s="81" t="e">
        <f ca="1">VLOOKUP(B1438,Calc!$K$77:$L$87,2,FALSE)</f>
        <v>#N/A</v>
      </c>
      <c r="E1438" s="523" t="e">
        <f ca="1">VLOOKUP(B1438,Calc!$K$88:$L$98,2,FALSE)</f>
        <v>#N/A</v>
      </c>
      <c r="F1438" s="523" t="e">
        <f ca="1">IF(Errorhandling!$C$42,INDEX(Calc!$J$99:$J$109,MATCH(Display!B1438,Calc!$K$99:$K$109,0),1),#N/A)</f>
        <v>#N/A</v>
      </c>
    </row>
    <row r="1439" spans="2:6" x14ac:dyDescent="0.2">
      <c r="B1439" s="6">
        <f t="shared" si="26"/>
        <v>1436</v>
      </c>
      <c r="C1439" s="81" t="e">
        <f ca="1">VLOOKUP(B1439,Calc!$K$66:$L$76,2,FALSE)</f>
        <v>#N/A</v>
      </c>
      <c r="D1439" s="81" t="e">
        <f ca="1">VLOOKUP(B1439,Calc!$K$77:$L$87,2,FALSE)</f>
        <v>#N/A</v>
      </c>
      <c r="E1439" s="523" t="e">
        <f ca="1">VLOOKUP(B1439,Calc!$K$88:$L$98,2,FALSE)</f>
        <v>#N/A</v>
      </c>
      <c r="F1439" s="523" t="e">
        <f ca="1">IF(Errorhandling!$C$42,INDEX(Calc!$J$99:$J$109,MATCH(Display!B1439,Calc!$K$99:$K$109,0),1),#N/A)</f>
        <v>#N/A</v>
      </c>
    </row>
    <row r="1440" spans="2:6" x14ac:dyDescent="0.2">
      <c r="B1440" s="6">
        <f t="shared" si="26"/>
        <v>1437</v>
      </c>
      <c r="C1440" s="81" t="e">
        <f ca="1">VLOOKUP(B1440,Calc!$K$66:$L$76,2,FALSE)</f>
        <v>#N/A</v>
      </c>
      <c r="D1440" s="81" t="e">
        <f ca="1">VLOOKUP(B1440,Calc!$K$77:$L$87,2,FALSE)</f>
        <v>#N/A</v>
      </c>
      <c r="E1440" s="523" t="e">
        <f ca="1">VLOOKUP(B1440,Calc!$K$88:$L$98,2,FALSE)</f>
        <v>#N/A</v>
      </c>
      <c r="F1440" s="523" t="e">
        <f ca="1">IF(Errorhandling!$C$42,INDEX(Calc!$J$99:$J$109,MATCH(Display!B1440,Calc!$K$99:$K$109,0),1),#N/A)</f>
        <v>#N/A</v>
      </c>
    </row>
    <row r="1441" spans="2:6" x14ac:dyDescent="0.2">
      <c r="B1441" s="6">
        <f t="shared" si="26"/>
        <v>1438</v>
      </c>
      <c r="C1441" s="81" t="e">
        <f ca="1">VLOOKUP(B1441,Calc!$K$66:$L$76,2,FALSE)</f>
        <v>#N/A</v>
      </c>
      <c r="D1441" s="81" t="e">
        <f ca="1">VLOOKUP(B1441,Calc!$K$77:$L$87,2,FALSE)</f>
        <v>#N/A</v>
      </c>
      <c r="E1441" s="523" t="e">
        <f ca="1">VLOOKUP(B1441,Calc!$K$88:$L$98,2,FALSE)</f>
        <v>#N/A</v>
      </c>
      <c r="F1441" s="523" t="e">
        <f ca="1">IF(Errorhandling!$C$42,INDEX(Calc!$J$99:$J$109,MATCH(Display!B1441,Calc!$K$99:$K$109,0),1),#N/A)</f>
        <v>#N/A</v>
      </c>
    </row>
    <row r="1442" spans="2:6" x14ac:dyDescent="0.2">
      <c r="B1442" s="6">
        <f t="shared" si="26"/>
        <v>1439</v>
      </c>
      <c r="C1442" s="81" t="e">
        <f ca="1">VLOOKUP(B1442,Calc!$K$66:$L$76,2,FALSE)</f>
        <v>#N/A</v>
      </c>
      <c r="D1442" s="81" t="e">
        <f ca="1">VLOOKUP(B1442,Calc!$K$77:$L$87,2,FALSE)</f>
        <v>#N/A</v>
      </c>
      <c r="E1442" s="523" t="e">
        <f ca="1">VLOOKUP(B1442,Calc!$K$88:$L$98,2,FALSE)</f>
        <v>#N/A</v>
      </c>
      <c r="F1442" s="523" t="e">
        <f ca="1">IF(Errorhandling!$C$42,INDEX(Calc!$J$99:$J$109,MATCH(Display!B1442,Calc!$K$99:$K$109,0),1),#N/A)</f>
        <v>#N/A</v>
      </c>
    </row>
    <row r="1443" spans="2:6" x14ac:dyDescent="0.2">
      <c r="B1443" s="6">
        <f t="shared" si="26"/>
        <v>1440</v>
      </c>
      <c r="C1443" s="81" t="e">
        <f ca="1">VLOOKUP(B1443,Calc!$K$66:$L$76,2,FALSE)</f>
        <v>#N/A</v>
      </c>
      <c r="D1443" s="81" t="e">
        <f ca="1">VLOOKUP(B1443,Calc!$K$77:$L$87,2,FALSE)</f>
        <v>#N/A</v>
      </c>
      <c r="E1443" s="523" t="e">
        <f ca="1">VLOOKUP(B1443,Calc!$K$88:$L$98,2,FALSE)</f>
        <v>#N/A</v>
      </c>
      <c r="F1443" s="523" t="e">
        <f ca="1">IF(Errorhandling!$C$42,INDEX(Calc!$J$99:$J$109,MATCH(Display!B1443,Calc!$K$99:$K$109,0),1),#N/A)</f>
        <v>#N/A</v>
      </c>
    </row>
    <row r="1444" spans="2:6" x14ac:dyDescent="0.2">
      <c r="B1444" s="6">
        <f t="shared" si="26"/>
        <v>1441</v>
      </c>
      <c r="C1444" s="81" t="e">
        <f ca="1">VLOOKUP(B1444,Calc!$K$66:$L$76,2,FALSE)</f>
        <v>#N/A</v>
      </c>
      <c r="D1444" s="81" t="e">
        <f ca="1">VLOOKUP(B1444,Calc!$K$77:$L$87,2,FALSE)</f>
        <v>#N/A</v>
      </c>
      <c r="E1444" s="523" t="e">
        <f ca="1">VLOOKUP(B1444,Calc!$K$88:$L$98,2,FALSE)</f>
        <v>#N/A</v>
      </c>
      <c r="F1444" s="523" t="e">
        <f ca="1">IF(Errorhandling!$C$42,INDEX(Calc!$J$99:$J$109,MATCH(Display!B1444,Calc!$K$99:$K$109,0),1),#N/A)</f>
        <v>#N/A</v>
      </c>
    </row>
    <row r="1445" spans="2:6" x14ac:dyDescent="0.2">
      <c r="B1445" s="6">
        <f t="shared" si="26"/>
        <v>1442</v>
      </c>
      <c r="C1445" s="81" t="e">
        <f ca="1">VLOOKUP(B1445,Calc!$K$66:$L$76,2,FALSE)</f>
        <v>#N/A</v>
      </c>
      <c r="D1445" s="81" t="e">
        <f ca="1">VLOOKUP(B1445,Calc!$K$77:$L$87,2,FALSE)</f>
        <v>#N/A</v>
      </c>
      <c r="E1445" s="523" t="e">
        <f ca="1">VLOOKUP(B1445,Calc!$K$88:$L$98,2,FALSE)</f>
        <v>#N/A</v>
      </c>
      <c r="F1445" s="523" t="e">
        <f ca="1">IF(Errorhandling!$C$42,INDEX(Calc!$J$99:$J$109,MATCH(Display!B1445,Calc!$K$99:$K$109,0),1),#N/A)</f>
        <v>#N/A</v>
      </c>
    </row>
    <row r="1446" spans="2:6" x14ac:dyDescent="0.2">
      <c r="B1446" s="6">
        <f t="shared" si="26"/>
        <v>1443</v>
      </c>
      <c r="C1446" s="81" t="e">
        <f ca="1">VLOOKUP(B1446,Calc!$K$66:$L$76,2,FALSE)</f>
        <v>#N/A</v>
      </c>
      <c r="D1446" s="81" t="e">
        <f ca="1">VLOOKUP(B1446,Calc!$K$77:$L$87,2,FALSE)</f>
        <v>#N/A</v>
      </c>
      <c r="E1446" s="523" t="e">
        <f ca="1">VLOOKUP(B1446,Calc!$K$88:$L$98,2,FALSE)</f>
        <v>#N/A</v>
      </c>
      <c r="F1446" s="523" t="e">
        <f ca="1">IF(Errorhandling!$C$42,INDEX(Calc!$J$99:$J$109,MATCH(Display!B1446,Calc!$K$99:$K$109,0),1),#N/A)</f>
        <v>#N/A</v>
      </c>
    </row>
    <row r="1447" spans="2:6" x14ac:dyDescent="0.2">
      <c r="B1447" s="6">
        <f t="shared" si="26"/>
        <v>1444</v>
      </c>
      <c r="C1447" s="81" t="e">
        <f ca="1">VLOOKUP(B1447,Calc!$K$66:$L$76,2,FALSE)</f>
        <v>#N/A</v>
      </c>
      <c r="D1447" s="81" t="e">
        <f ca="1">VLOOKUP(B1447,Calc!$K$77:$L$87,2,FALSE)</f>
        <v>#N/A</v>
      </c>
      <c r="E1447" s="523" t="e">
        <f ca="1">VLOOKUP(B1447,Calc!$K$88:$L$98,2,FALSE)</f>
        <v>#N/A</v>
      </c>
      <c r="F1447" s="523" t="e">
        <f ca="1">IF(Errorhandling!$C$42,INDEX(Calc!$J$99:$J$109,MATCH(Display!B1447,Calc!$K$99:$K$109,0),1),#N/A)</f>
        <v>#N/A</v>
      </c>
    </row>
    <row r="1448" spans="2:6" x14ac:dyDescent="0.2">
      <c r="B1448" s="6">
        <f t="shared" si="26"/>
        <v>1445</v>
      </c>
      <c r="C1448" s="81" t="e">
        <f ca="1">VLOOKUP(B1448,Calc!$K$66:$L$76,2,FALSE)</f>
        <v>#N/A</v>
      </c>
      <c r="D1448" s="81" t="e">
        <f ca="1">VLOOKUP(B1448,Calc!$K$77:$L$87,2,FALSE)</f>
        <v>#N/A</v>
      </c>
      <c r="E1448" s="523" t="e">
        <f ca="1">VLOOKUP(B1448,Calc!$K$88:$L$98,2,FALSE)</f>
        <v>#N/A</v>
      </c>
      <c r="F1448" s="523" t="e">
        <f ca="1">IF(Errorhandling!$C$42,INDEX(Calc!$J$99:$J$109,MATCH(Display!B1448,Calc!$K$99:$K$109,0),1),#N/A)</f>
        <v>#N/A</v>
      </c>
    </row>
    <row r="1449" spans="2:6" x14ac:dyDescent="0.2">
      <c r="B1449" s="6">
        <f t="shared" si="26"/>
        <v>1446</v>
      </c>
      <c r="C1449" s="81" t="e">
        <f ca="1">VLOOKUP(B1449,Calc!$K$66:$L$76,2,FALSE)</f>
        <v>#N/A</v>
      </c>
      <c r="D1449" s="81" t="e">
        <f ca="1">VLOOKUP(B1449,Calc!$K$77:$L$87,2,FALSE)</f>
        <v>#N/A</v>
      </c>
      <c r="E1449" s="523" t="e">
        <f ca="1">VLOOKUP(B1449,Calc!$K$88:$L$98,2,FALSE)</f>
        <v>#N/A</v>
      </c>
      <c r="F1449" s="523" t="e">
        <f ca="1">IF(Errorhandling!$C$42,INDEX(Calc!$J$99:$J$109,MATCH(Display!B1449,Calc!$K$99:$K$109,0),1),#N/A)</f>
        <v>#N/A</v>
      </c>
    </row>
    <row r="1450" spans="2:6" x14ac:dyDescent="0.2">
      <c r="B1450" s="6">
        <f t="shared" si="26"/>
        <v>1447</v>
      </c>
      <c r="C1450" s="81" t="e">
        <f ca="1">VLOOKUP(B1450,Calc!$K$66:$L$76,2,FALSE)</f>
        <v>#N/A</v>
      </c>
      <c r="D1450" s="81" t="e">
        <f ca="1">VLOOKUP(B1450,Calc!$K$77:$L$87,2,FALSE)</f>
        <v>#N/A</v>
      </c>
      <c r="E1450" s="523" t="e">
        <f ca="1">VLOOKUP(B1450,Calc!$K$88:$L$98,2,FALSE)</f>
        <v>#N/A</v>
      </c>
      <c r="F1450" s="523" t="e">
        <f ca="1">IF(Errorhandling!$C$42,INDEX(Calc!$J$99:$J$109,MATCH(Display!B1450,Calc!$K$99:$K$109,0),1),#N/A)</f>
        <v>#N/A</v>
      </c>
    </row>
    <row r="1451" spans="2:6" x14ac:dyDescent="0.2">
      <c r="B1451" s="6">
        <f t="shared" si="26"/>
        <v>1448</v>
      </c>
      <c r="C1451" s="81" t="e">
        <f ca="1">VLOOKUP(B1451,Calc!$K$66:$L$76,2,FALSE)</f>
        <v>#N/A</v>
      </c>
      <c r="D1451" s="81" t="e">
        <f ca="1">VLOOKUP(B1451,Calc!$K$77:$L$87,2,FALSE)</f>
        <v>#N/A</v>
      </c>
      <c r="E1451" s="523" t="e">
        <f ca="1">VLOOKUP(B1451,Calc!$K$88:$L$98,2,FALSE)</f>
        <v>#N/A</v>
      </c>
      <c r="F1451" s="523" t="e">
        <f ca="1">IF(Errorhandling!$C$42,INDEX(Calc!$J$99:$J$109,MATCH(Display!B1451,Calc!$K$99:$K$109,0),1),#N/A)</f>
        <v>#N/A</v>
      </c>
    </row>
    <row r="1452" spans="2:6" x14ac:dyDescent="0.2">
      <c r="B1452" s="6">
        <f t="shared" si="26"/>
        <v>1449</v>
      </c>
      <c r="C1452" s="81" t="e">
        <f ca="1">VLOOKUP(B1452,Calc!$K$66:$L$76,2,FALSE)</f>
        <v>#N/A</v>
      </c>
      <c r="D1452" s="81" t="e">
        <f ca="1">VLOOKUP(B1452,Calc!$K$77:$L$87,2,FALSE)</f>
        <v>#N/A</v>
      </c>
      <c r="E1452" s="523" t="e">
        <f ca="1">VLOOKUP(B1452,Calc!$K$88:$L$98,2,FALSE)</f>
        <v>#N/A</v>
      </c>
      <c r="F1452" s="523" t="e">
        <f ca="1">IF(Errorhandling!$C$42,INDEX(Calc!$J$99:$J$109,MATCH(Display!B1452,Calc!$K$99:$K$109,0),1),#N/A)</f>
        <v>#N/A</v>
      </c>
    </row>
    <row r="1453" spans="2:6" x14ac:dyDescent="0.2">
      <c r="B1453" s="6">
        <f t="shared" si="26"/>
        <v>1450</v>
      </c>
      <c r="C1453" s="81" t="e">
        <f ca="1">VLOOKUP(B1453,Calc!$K$66:$L$76,2,FALSE)</f>
        <v>#N/A</v>
      </c>
      <c r="D1453" s="81" t="e">
        <f ca="1">VLOOKUP(B1453,Calc!$K$77:$L$87,2,FALSE)</f>
        <v>#N/A</v>
      </c>
      <c r="E1453" s="523" t="e">
        <f ca="1">VLOOKUP(B1453,Calc!$K$88:$L$98,2,FALSE)</f>
        <v>#N/A</v>
      </c>
      <c r="F1453" s="523" t="e">
        <f ca="1">IF(Errorhandling!$C$42,INDEX(Calc!$J$99:$J$109,MATCH(Display!B1453,Calc!$K$99:$K$109,0),1),#N/A)</f>
        <v>#N/A</v>
      </c>
    </row>
    <row r="1454" spans="2:6" x14ac:dyDescent="0.2">
      <c r="B1454" s="6">
        <f t="shared" si="26"/>
        <v>1451</v>
      </c>
      <c r="C1454" s="81" t="e">
        <f ca="1">VLOOKUP(B1454,Calc!$K$66:$L$76,2,FALSE)</f>
        <v>#N/A</v>
      </c>
      <c r="D1454" s="81" t="e">
        <f ca="1">VLOOKUP(B1454,Calc!$K$77:$L$87,2,FALSE)</f>
        <v>#N/A</v>
      </c>
      <c r="E1454" s="523" t="e">
        <f ca="1">VLOOKUP(B1454,Calc!$K$88:$L$98,2,FALSE)</f>
        <v>#N/A</v>
      </c>
      <c r="F1454" s="523" t="e">
        <f ca="1">IF(Errorhandling!$C$42,INDEX(Calc!$J$99:$J$109,MATCH(Display!B1454,Calc!$K$99:$K$109,0),1),#N/A)</f>
        <v>#N/A</v>
      </c>
    </row>
    <row r="1455" spans="2:6" x14ac:dyDescent="0.2">
      <c r="B1455" s="6">
        <f t="shared" si="26"/>
        <v>1452</v>
      </c>
      <c r="C1455" s="81" t="e">
        <f ca="1">VLOOKUP(B1455,Calc!$K$66:$L$76,2,FALSE)</f>
        <v>#N/A</v>
      </c>
      <c r="D1455" s="81" t="e">
        <f ca="1">VLOOKUP(B1455,Calc!$K$77:$L$87,2,FALSE)</f>
        <v>#N/A</v>
      </c>
      <c r="E1455" s="523" t="e">
        <f ca="1">VLOOKUP(B1455,Calc!$K$88:$L$98,2,FALSE)</f>
        <v>#N/A</v>
      </c>
      <c r="F1455" s="523" t="e">
        <f ca="1">IF(Errorhandling!$C$42,INDEX(Calc!$J$99:$J$109,MATCH(Display!B1455,Calc!$K$99:$K$109,0),1),#N/A)</f>
        <v>#N/A</v>
      </c>
    </row>
    <row r="1456" spans="2:6" x14ac:dyDescent="0.2">
      <c r="B1456" s="6">
        <f t="shared" si="26"/>
        <v>1453</v>
      </c>
      <c r="C1456" s="81" t="e">
        <f ca="1">VLOOKUP(B1456,Calc!$K$66:$L$76,2,FALSE)</f>
        <v>#N/A</v>
      </c>
      <c r="D1456" s="81" t="e">
        <f ca="1">VLOOKUP(B1456,Calc!$K$77:$L$87,2,FALSE)</f>
        <v>#N/A</v>
      </c>
      <c r="E1456" s="523" t="e">
        <f ca="1">VLOOKUP(B1456,Calc!$K$88:$L$98,2,FALSE)</f>
        <v>#N/A</v>
      </c>
      <c r="F1456" s="523" t="e">
        <f ca="1">IF(Errorhandling!$C$42,INDEX(Calc!$J$99:$J$109,MATCH(Display!B1456,Calc!$K$99:$K$109,0),1),#N/A)</f>
        <v>#N/A</v>
      </c>
    </row>
    <row r="1457" spans="2:6" x14ac:dyDescent="0.2">
      <c r="B1457" s="6">
        <f t="shared" si="26"/>
        <v>1454</v>
      </c>
      <c r="C1457" s="81" t="e">
        <f ca="1">VLOOKUP(B1457,Calc!$K$66:$L$76,2,FALSE)</f>
        <v>#N/A</v>
      </c>
      <c r="D1457" s="81" t="e">
        <f ca="1">VLOOKUP(B1457,Calc!$K$77:$L$87,2,FALSE)</f>
        <v>#N/A</v>
      </c>
      <c r="E1457" s="523" t="e">
        <f ca="1">VLOOKUP(B1457,Calc!$K$88:$L$98,2,FALSE)</f>
        <v>#N/A</v>
      </c>
      <c r="F1457" s="523" t="e">
        <f ca="1">IF(Errorhandling!$C$42,INDEX(Calc!$J$99:$J$109,MATCH(Display!B1457,Calc!$K$99:$K$109,0),1),#N/A)</f>
        <v>#N/A</v>
      </c>
    </row>
    <row r="1458" spans="2:6" x14ac:dyDescent="0.2">
      <c r="B1458" s="6">
        <f t="shared" si="26"/>
        <v>1455</v>
      </c>
      <c r="C1458" s="81" t="e">
        <f ca="1">VLOOKUP(B1458,Calc!$K$66:$L$76,2,FALSE)</f>
        <v>#N/A</v>
      </c>
      <c r="D1458" s="81" t="e">
        <f ca="1">VLOOKUP(B1458,Calc!$K$77:$L$87,2,FALSE)</f>
        <v>#N/A</v>
      </c>
      <c r="E1458" s="523" t="e">
        <f ca="1">VLOOKUP(B1458,Calc!$K$88:$L$98,2,FALSE)</f>
        <v>#N/A</v>
      </c>
      <c r="F1458" s="523" t="e">
        <f ca="1">IF(Errorhandling!$C$42,INDEX(Calc!$J$99:$J$109,MATCH(Display!B1458,Calc!$K$99:$K$109,0),1),#N/A)</f>
        <v>#N/A</v>
      </c>
    </row>
    <row r="1459" spans="2:6" x14ac:dyDescent="0.2">
      <c r="B1459" s="6">
        <f t="shared" si="26"/>
        <v>1456</v>
      </c>
      <c r="C1459" s="81" t="e">
        <f ca="1">VLOOKUP(B1459,Calc!$K$66:$L$76,2,FALSE)</f>
        <v>#N/A</v>
      </c>
      <c r="D1459" s="81" t="e">
        <f ca="1">VLOOKUP(B1459,Calc!$K$77:$L$87,2,FALSE)</f>
        <v>#N/A</v>
      </c>
      <c r="E1459" s="523" t="e">
        <f ca="1">VLOOKUP(B1459,Calc!$K$88:$L$98,2,FALSE)</f>
        <v>#N/A</v>
      </c>
      <c r="F1459" s="523" t="e">
        <f ca="1">IF(Errorhandling!$C$42,INDEX(Calc!$J$99:$J$109,MATCH(Display!B1459,Calc!$K$99:$K$109,0),1),#N/A)</f>
        <v>#N/A</v>
      </c>
    </row>
    <row r="1460" spans="2:6" x14ac:dyDescent="0.2">
      <c r="B1460" s="6">
        <f t="shared" si="26"/>
        <v>1457</v>
      </c>
      <c r="C1460" s="81" t="e">
        <f ca="1">VLOOKUP(B1460,Calc!$K$66:$L$76,2,FALSE)</f>
        <v>#N/A</v>
      </c>
      <c r="D1460" s="81" t="e">
        <f ca="1">VLOOKUP(B1460,Calc!$K$77:$L$87,2,FALSE)</f>
        <v>#N/A</v>
      </c>
      <c r="E1460" s="523" t="e">
        <f ca="1">VLOOKUP(B1460,Calc!$K$88:$L$98,2,FALSE)</f>
        <v>#N/A</v>
      </c>
      <c r="F1460" s="523" t="e">
        <f ca="1">IF(Errorhandling!$C$42,INDEX(Calc!$J$99:$J$109,MATCH(Display!B1460,Calc!$K$99:$K$109,0),1),#N/A)</f>
        <v>#N/A</v>
      </c>
    </row>
    <row r="1461" spans="2:6" x14ac:dyDescent="0.2">
      <c r="B1461" s="6">
        <f t="shared" si="26"/>
        <v>1458</v>
      </c>
      <c r="C1461" s="81" t="e">
        <f ca="1">VLOOKUP(B1461,Calc!$K$66:$L$76,2,FALSE)</f>
        <v>#N/A</v>
      </c>
      <c r="D1461" s="81" t="e">
        <f ca="1">VLOOKUP(B1461,Calc!$K$77:$L$87,2,FALSE)</f>
        <v>#N/A</v>
      </c>
      <c r="E1461" s="523" t="e">
        <f ca="1">VLOOKUP(B1461,Calc!$K$88:$L$98,2,FALSE)</f>
        <v>#N/A</v>
      </c>
      <c r="F1461" s="523" t="e">
        <f ca="1">IF(Errorhandling!$C$42,INDEX(Calc!$J$99:$J$109,MATCH(Display!B1461,Calc!$K$99:$K$109,0),1),#N/A)</f>
        <v>#N/A</v>
      </c>
    </row>
    <row r="1462" spans="2:6" x14ac:dyDescent="0.2">
      <c r="B1462" s="6">
        <f t="shared" si="26"/>
        <v>1459</v>
      </c>
      <c r="C1462" s="81" t="e">
        <f ca="1">VLOOKUP(B1462,Calc!$K$66:$L$76,2,FALSE)</f>
        <v>#N/A</v>
      </c>
      <c r="D1462" s="81" t="e">
        <f ca="1">VLOOKUP(B1462,Calc!$K$77:$L$87,2,FALSE)</f>
        <v>#N/A</v>
      </c>
      <c r="E1462" s="523" t="e">
        <f ca="1">VLOOKUP(B1462,Calc!$K$88:$L$98,2,FALSE)</f>
        <v>#N/A</v>
      </c>
      <c r="F1462" s="523" t="e">
        <f ca="1">IF(Errorhandling!$C$42,INDEX(Calc!$J$99:$J$109,MATCH(Display!B1462,Calc!$K$99:$K$109,0),1),#N/A)</f>
        <v>#N/A</v>
      </c>
    </row>
    <row r="1463" spans="2:6" x14ac:dyDescent="0.2">
      <c r="B1463" s="6">
        <f t="shared" si="26"/>
        <v>1460</v>
      </c>
      <c r="C1463" s="81" t="e">
        <f ca="1">VLOOKUP(B1463,Calc!$K$66:$L$76,2,FALSE)</f>
        <v>#N/A</v>
      </c>
      <c r="D1463" s="81" t="e">
        <f ca="1">VLOOKUP(B1463,Calc!$K$77:$L$87,2,FALSE)</f>
        <v>#N/A</v>
      </c>
      <c r="E1463" s="523" t="e">
        <f ca="1">VLOOKUP(B1463,Calc!$K$88:$L$98,2,FALSE)</f>
        <v>#N/A</v>
      </c>
      <c r="F1463" s="523" t="e">
        <f ca="1">IF(Errorhandling!$C$42,INDEX(Calc!$J$99:$J$109,MATCH(Display!B1463,Calc!$K$99:$K$109,0),1),#N/A)</f>
        <v>#N/A</v>
      </c>
    </row>
    <row r="1464" spans="2:6" x14ac:dyDescent="0.2">
      <c r="B1464" s="6">
        <f t="shared" si="26"/>
        <v>1461</v>
      </c>
      <c r="C1464" s="81" t="e">
        <f ca="1">VLOOKUP(B1464,Calc!$K$66:$L$76,2,FALSE)</f>
        <v>#N/A</v>
      </c>
      <c r="D1464" s="81" t="e">
        <f ca="1">VLOOKUP(B1464,Calc!$K$77:$L$87,2,FALSE)</f>
        <v>#N/A</v>
      </c>
      <c r="E1464" s="523" t="e">
        <f ca="1">VLOOKUP(B1464,Calc!$K$88:$L$98,2,FALSE)</f>
        <v>#N/A</v>
      </c>
      <c r="F1464" s="523" t="e">
        <f ca="1">IF(Errorhandling!$C$42,INDEX(Calc!$J$99:$J$109,MATCH(Display!B1464,Calc!$K$99:$K$109,0),1),#N/A)</f>
        <v>#N/A</v>
      </c>
    </row>
    <row r="1465" spans="2:6" x14ac:dyDescent="0.2">
      <c r="B1465" s="6">
        <f t="shared" si="26"/>
        <v>1462</v>
      </c>
      <c r="C1465" s="81" t="e">
        <f ca="1">VLOOKUP(B1465,Calc!$K$66:$L$76,2,FALSE)</f>
        <v>#N/A</v>
      </c>
      <c r="D1465" s="81" t="e">
        <f ca="1">VLOOKUP(B1465,Calc!$K$77:$L$87,2,FALSE)</f>
        <v>#N/A</v>
      </c>
      <c r="E1465" s="523" t="e">
        <f ca="1">VLOOKUP(B1465,Calc!$K$88:$L$98,2,FALSE)</f>
        <v>#N/A</v>
      </c>
      <c r="F1465" s="523" t="e">
        <f ca="1">IF(Errorhandling!$C$42,INDEX(Calc!$J$99:$J$109,MATCH(Display!B1465,Calc!$K$99:$K$109,0),1),#N/A)</f>
        <v>#N/A</v>
      </c>
    </row>
    <row r="1466" spans="2:6" x14ac:dyDescent="0.2">
      <c r="B1466" s="6">
        <f t="shared" si="26"/>
        <v>1463</v>
      </c>
      <c r="C1466" s="81" t="e">
        <f ca="1">VLOOKUP(B1466,Calc!$K$66:$L$76,2,FALSE)</f>
        <v>#N/A</v>
      </c>
      <c r="D1466" s="81" t="e">
        <f ca="1">VLOOKUP(B1466,Calc!$K$77:$L$87,2,FALSE)</f>
        <v>#N/A</v>
      </c>
      <c r="E1466" s="523" t="e">
        <f ca="1">VLOOKUP(B1466,Calc!$K$88:$L$98,2,FALSE)</f>
        <v>#N/A</v>
      </c>
      <c r="F1466" s="523" t="e">
        <f ca="1">IF(Errorhandling!$C$42,INDEX(Calc!$J$99:$J$109,MATCH(Display!B1466,Calc!$K$99:$K$109,0),1),#N/A)</f>
        <v>#N/A</v>
      </c>
    </row>
    <row r="1467" spans="2:6" x14ac:dyDescent="0.2">
      <c r="B1467" s="6">
        <f t="shared" si="26"/>
        <v>1464</v>
      </c>
      <c r="C1467" s="81" t="e">
        <f ca="1">VLOOKUP(B1467,Calc!$K$66:$L$76,2,FALSE)</f>
        <v>#N/A</v>
      </c>
      <c r="D1467" s="81" t="e">
        <f ca="1">VLOOKUP(B1467,Calc!$K$77:$L$87,2,FALSE)</f>
        <v>#N/A</v>
      </c>
      <c r="E1467" s="523" t="e">
        <f ca="1">VLOOKUP(B1467,Calc!$K$88:$L$98,2,FALSE)</f>
        <v>#N/A</v>
      </c>
      <c r="F1467" s="523" t="e">
        <f ca="1">IF(Errorhandling!$C$42,INDEX(Calc!$J$99:$J$109,MATCH(Display!B1467,Calc!$K$99:$K$109,0),1),#N/A)</f>
        <v>#N/A</v>
      </c>
    </row>
    <row r="1468" spans="2:6" x14ac:dyDescent="0.2">
      <c r="B1468" s="6">
        <f t="shared" si="26"/>
        <v>1465</v>
      </c>
      <c r="C1468" s="81" t="e">
        <f ca="1">VLOOKUP(B1468,Calc!$K$66:$L$76,2,FALSE)</f>
        <v>#N/A</v>
      </c>
      <c r="D1468" s="81" t="e">
        <f ca="1">VLOOKUP(B1468,Calc!$K$77:$L$87,2,FALSE)</f>
        <v>#N/A</v>
      </c>
      <c r="E1468" s="523" t="e">
        <f ca="1">VLOOKUP(B1468,Calc!$K$88:$L$98,2,FALSE)</f>
        <v>#N/A</v>
      </c>
      <c r="F1468" s="523" t="e">
        <f ca="1">IF(Errorhandling!$C$42,INDEX(Calc!$J$99:$J$109,MATCH(Display!B1468,Calc!$K$99:$K$109,0),1),#N/A)</f>
        <v>#N/A</v>
      </c>
    </row>
    <row r="1469" spans="2:6" x14ac:dyDescent="0.2">
      <c r="B1469" s="6">
        <f t="shared" si="26"/>
        <v>1466</v>
      </c>
      <c r="C1469" s="81" t="e">
        <f ca="1">VLOOKUP(B1469,Calc!$K$66:$L$76,2,FALSE)</f>
        <v>#N/A</v>
      </c>
      <c r="D1469" s="81" t="e">
        <f ca="1">VLOOKUP(B1469,Calc!$K$77:$L$87,2,FALSE)</f>
        <v>#N/A</v>
      </c>
      <c r="E1469" s="523" t="e">
        <f ca="1">VLOOKUP(B1469,Calc!$K$88:$L$98,2,FALSE)</f>
        <v>#N/A</v>
      </c>
      <c r="F1469" s="523" t="e">
        <f ca="1">IF(Errorhandling!$C$42,INDEX(Calc!$J$99:$J$109,MATCH(Display!B1469,Calc!$K$99:$K$109,0),1),#N/A)</f>
        <v>#N/A</v>
      </c>
    </row>
    <row r="1470" spans="2:6" x14ac:dyDescent="0.2">
      <c r="B1470" s="6">
        <f t="shared" si="26"/>
        <v>1467</v>
      </c>
      <c r="C1470" s="81" t="e">
        <f ca="1">VLOOKUP(B1470,Calc!$K$66:$L$76,2,FALSE)</f>
        <v>#N/A</v>
      </c>
      <c r="D1470" s="81" t="e">
        <f ca="1">VLOOKUP(B1470,Calc!$K$77:$L$87,2,FALSE)</f>
        <v>#N/A</v>
      </c>
      <c r="E1470" s="523" t="e">
        <f ca="1">VLOOKUP(B1470,Calc!$K$88:$L$98,2,FALSE)</f>
        <v>#N/A</v>
      </c>
      <c r="F1470" s="523" t="e">
        <f ca="1">IF(Errorhandling!$C$42,INDEX(Calc!$J$99:$J$109,MATCH(Display!B1470,Calc!$K$99:$K$109,0),1),#N/A)</f>
        <v>#N/A</v>
      </c>
    </row>
    <row r="1471" spans="2:6" x14ac:dyDescent="0.2">
      <c r="B1471" s="6">
        <f t="shared" si="26"/>
        <v>1468</v>
      </c>
      <c r="C1471" s="81" t="e">
        <f ca="1">VLOOKUP(B1471,Calc!$K$66:$L$76,2,FALSE)</f>
        <v>#N/A</v>
      </c>
      <c r="D1471" s="81" t="e">
        <f ca="1">VLOOKUP(B1471,Calc!$K$77:$L$87,2,FALSE)</f>
        <v>#N/A</v>
      </c>
      <c r="E1471" s="523" t="e">
        <f ca="1">VLOOKUP(B1471,Calc!$K$88:$L$98,2,FALSE)</f>
        <v>#N/A</v>
      </c>
      <c r="F1471" s="523" t="e">
        <f ca="1">IF(Errorhandling!$C$42,INDEX(Calc!$J$99:$J$109,MATCH(Display!B1471,Calc!$K$99:$K$109,0),1),#N/A)</f>
        <v>#N/A</v>
      </c>
    </row>
    <row r="1472" spans="2:6" x14ac:dyDescent="0.2">
      <c r="B1472" s="6">
        <f t="shared" si="26"/>
        <v>1469</v>
      </c>
      <c r="C1472" s="81" t="e">
        <f ca="1">VLOOKUP(B1472,Calc!$K$66:$L$76,2,FALSE)</f>
        <v>#N/A</v>
      </c>
      <c r="D1472" s="81" t="e">
        <f ca="1">VLOOKUP(B1472,Calc!$K$77:$L$87,2,FALSE)</f>
        <v>#N/A</v>
      </c>
      <c r="E1472" s="523" t="e">
        <f ca="1">VLOOKUP(B1472,Calc!$K$88:$L$98,2,FALSE)</f>
        <v>#N/A</v>
      </c>
      <c r="F1472" s="523" t="e">
        <f ca="1">IF(Errorhandling!$C$42,INDEX(Calc!$J$99:$J$109,MATCH(Display!B1472,Calc!$K$99:$K$109,0),1),#N/A)</f>
        <v>#N/A</v>
      </c>
    </row>
    <row r="1473" spans="2:6" x14ac:dyDescent="0.2">
      <c r="B1473" s="6">
        <f t="shared" si="26"/>
        <v>1470</v>
      </c>
      <c r="C1473" s="81" t="e">
        <f ca="1">VLOOKUP(B1473,Calc!$K$66:$L$76,2,FALSE)</f>
        <v>#N/A</v>
      </c>
      <c r="D1473" s="81" t="e">
        <f ca="1">VLOOKUP(B1473,Calc!$K$77:$L$87,2,FALSE)</f>
        <v>#N/A</v>
      </c>
      <c r="E1473" s="523" t="e">
        <f ca="1">VLOOKUP(B1473,Calc!$K$88:$L$98,2,FALSE)</f>
        <v>#N/A</v>
      </c>
      <c r="F1473" s="523" t="e">
        <f ca="1">IF(Errorhandling!$C$42,INDEX(Calc!$J$99:$J$109,MATCH(Display!B1473,Calc!$K$99:$K$109,0),1),#N/A)</f>
        <v>#N/A</v>
      </c>
    </row>
    <row r="1474" spans="2:6" x14ac:dyDescent="0.2">
      <c r="B1474" s="6">
        <f t="shared" si="26"/>
        <v>1471</v>
      </c>
      <c r="C1474" s="81" t="e">
        <f ca="1">VLOOKUP(B1474,Calc!$K$66:$L$76,2,FALSE)</f>
        <v>#N/A</v>
      </c>
      <c r="D1474" s="81" t="e">
        <f ca="1">VLOOKUP(B1474,Calc!$K$77:$L$87,2,FALSE)</f>
        <v>#N/A</v>
      </c>
      <c r="E1474" s="523" t="e">
        <f ca="1">VLOOKUP(B1474,Calc!$K$88:$L$98,2,FALSE)</f>
        <v>#N/A</v>
      </c>
      <c r="F1474" s="523" t="e">
        <f ca="1">IF(Errorhandling!$C$42,INDEX(Calc!$J$99:$J$109,MATCH(Display!B1474,Calc!$K$99:$K$109,0),1),#N/A)</f>
        <v>#N/A</v>
      </c>
    </row>
    <row r="1475" spans="2:6" x14ac:dyDescent="0.2">
      <c r="B1475" s="6">
        <f t="shared" si="26"/>
        <v>1472</v>
      </c>
      <c r="C1475" s="81" t="e">
        <f ca="1">VLOOKUP(B1475,Calc!$K$66:$L$76,2,FALSE)</f>
        <v>#N/A</v>
      </c>
      <c r="D1475" s="81" t="e">
        <f ca="1">VLOOKUP(B1475,Calc!$K$77:$L$87,2,FALSE)</f>
        <v>#N/A</v>
      </c>
      <c r="E1475" s="523" t="e">
        <f ca="1">VLOOKUP(B1475,Calc!$K$88:$L$98,2,FALSE)</f>
        <v>#N/A</v>
      </c>
      <c r="F1475" s="523" t="e">
        <f ca="1">IF(Errorhandling!$C$42,INDEX(Calc!$J$99:$J$109,MATCH(Display!B1475,Calc!$K$99:$K$109,0),1),#N/A)</f>
        <v>#N/A</v>
      </c>
    </row>
    <row r="1476" spans="2:6" x14ac:dyDescent="0.2">
      <c r="B1476" s="6">
        <f t="shared" si="26"/>
        <v>1473</v>
      </c>
      <c r="C1476" s="81" t="e">
        <f ca="1">VLOOKUP(B1476,Calc!$K$66:$L$76,2,FALSE)</f>
        <v>#N/A</v>
      </c>
      <c r="D1476" s="81" t="e">
        <f ca="1">VLOOKUP(B1476,Calc!$K$77:$L$87,2,FALSE)</f>
        <v>#N/A</v>
      </c>
      <c r="E1476" s="523" t="e">
        <f ca="1">VLOOKUP(B1476,Calc!$K$88:$L$98,2,FALSE)</f>
        <v>#N/A</v>
      </c>
      <c r="F1476" s="523" t="e">
        <f ca="1">IF(Errorhandling!$C$42,INDEX(Calc!$J$99:$J$109,MATCH(Display!B1476,Calc!$K$99:$K$109,0),1),#N/A)</f>
        <v>#N/A</v>
      </c>
    </row>
    <row r="1477" spans="2:6" x14ac:dyDescent="0.2">
      <c r="B1477" s="6">
        <f t="shared" si="26"/>
        <v>1474</v>
      </c>
      <c r="C1477" s="81" t="e">
        <f ca="1">VLOOKUP(B1477,Calc!$K$66:$L$76,2,FALSE)</f>
        <v>#N/A</v>
      </c>
      <c r="D1477" s="81" t="e">
        <f ca="1">VLOOKUP(B1477,Calc!$K$77:$L$87,2,FALSE)</f>
        <v>#N/A</v>
      </c>
      <c r="E1477" s="523" t="e">
        <f ca="1">VLOOKUP(B1477,Calc!$K$88:$L$98,2,FALSE)</f>
        <v>#N/A</v>
      </c>
      <c r="F1477" s="523" t="e">
        <f ca="1">IF(Errorhandling!$C$42,INDEX(Calc!$J$99:$J$109,MATCH(Display!B1477,Calc!$K$99:$K$109,0),1),#N/A)</f>
        <v>#N/A</v>
      </c>
    </row>
    <row r="1478" spans="2:6" x14ac:dyDescent="0.2">
      <c r="B1478" s="6">
        <f t="shared" si="26"/>
        <v>1475</v>
      </c>
      <c r="C1478" s="81" t="e">
        <f ca="1">VLOOKUP(B1478,Calc!$K$66:$L$76,2,FALSE)</f>
        <v>#N/A</v>
      </c>
      <c r="D1478" s="81" t="e">
        <f ca="1">VLOOKUP(B1478,Calc!$K$77:$L$87,2,FALSE)</f>
        <v>#N/A</v>
      </c>
      <c r="E1478" s="523" t="e">
        <f ca="1">VLOOKUP(B1478,Calc!$K$88:$L$98,2,FALSE)</f>
        <v>#N/A</v>
      </c>
      <c r="F1478" s="523" t="e">
        <f ca="1">IF(Errorhandling!$C$42,INDEX(Calc!$J$99:$J$109,MATCH(Display!B1478,Calc!$K$99:$K$109,0),1),#N/A)</f>
        <v>#N/A</v>
      </c>
    </row>
    <row r="1479" spans="2:6" x14ac:dyDescent="0.2">
      <c r="B1479" s="6">
        <f t="shared" ref="B1479:B1542" si="27">1+B1478</f>
        <v>1476</v>
      </c>
      <c r="C1479" s="81" t="e">
        <f ca="1">VLOOKUP(B1479,Calc!$K$66:$L$76,2,FALSE)</f>
        <v>#N/A</v>
      </c>
      <c r="D1479" s="81" t="e">
        <f ca="1">VLOOKUP(B1479,Calc!$K$77:$L$87,2,FALSE)</f>
        <v>#N/A</v>
      </c>
      <c r="E1479" s="523" t="e">
        <f ca="1">VLOOKUP(B1479,Calc!$K$88:$L$98,2,FALSE)</f>
        <v>#N/A</v>
      </c>
      <c r="F1479" s="523" t="e">
        <f ca="1">IF(Errorhandling!$C$42,INDEX(Calc!$J$99:$J$109,MATCH(Display!B1479,Calc!$K$99:$K$109,0),1),#N/A)</f>
        <v>#N/A</v>
      </c>
    </row>
    <row r="1480" spans="2:6" x14ac:dyDescent="0.2">
      <c r="B1480" s="6">
        <f t="shared" si="27"/>
        <v>1477</v>
      </c>
      <c r="C1480" s="81" t="e">
        <f ca="1">VLOOKUP(B1480,Calc!$K$66:$L$76,2,FALSE)</f>
        <v>#N/A</v>
      </c>
      <c r="D1480" s="81" t="e">
        <f ca="1">VLOOKUP(B1480,Calc!$K$77:$L$87,2,FALSE)</f>
        <v>#N/A</v>
      </c>
      <c r="E1480" s="523" t="e">
        <f ca="1">VLOOKUP(B1480,Calc!$K$88:$L$98,2,FALSE)</f>
        <v>#N/A</v>
      </c>
      <c r="F1480" s="523" t="e">
        <f ca="1">IF(Errorhandling!$C$42,INDEX(Calc!$J$99:$J$109,MATCH(Display!B1480,Calc!$K$99:$K$109,0),1),#N/A)</f>
        <v>#N/A</v>
      </c>
    </row>
    <row r="1481" spans="2:6" x14ac:dyDescent="0.2">
      <c r="B1481" s="6">
        <f t="shared" si="27"/>
        <v>1478</v>
      </c>
      <c r="C1481" s="81" t="e">
        <f ca="1">VLOOKUP(B1481,Calc!$K$66:$L$76,2,FALSE)</f>
        <v>#N/A</v>
      </c>
      <c r="D1481" s="81" t="e">
        <f ca="1">VLOOKUP(B1481,Calc!$K$77:$L$87,2,FALSE)</f>
        <v>#N/A</v>
      </c>
      <c r="E1481" s="523" t="e">
        <f ca="1">VLOOKUP(B1481,Calc!$K$88:$L$98,2,FALSE)</f>
        <v>#N/A</v>
      </c>
      <c r="F1481" s="523" t="e">
        <f ca="1">IF(Errorhandling!$C$42,INDEX(Calc!$J$99:$J$109,MATCH(Display!B1481,Calc!$K$99:$K$109,0),1),#N/A)</f>
        <v>#N/A</v>
      </c>
    </row>
    <row r="1482" spans="2:6" x14ac:dyDescent="0.2">
      <c r="B1482" s="6">
        <f t="shared" si="27"/>
        <v>1479</v>
      </c>
      <c r="C1482" s="81" t="e">
        <f ca="1">VLOOKUP(B1482,Calc!$K$66:$L$76,2,FALSE)</f>
        <v>#N/A</v>
      </c>
      <c r="D1482" s="81" t="e">
        <f ca="1">VLOOKUP(B1482,Calc!$K$77:$L$87,2,FALSE)</f>
        <v>#N/A</v>
      </c>
      <c r="E1482" s="523" t="e">
        <f ca="1">VLOOKUP(B1482,Calc!$K$88:$L$98,2,FALSE)</f>
        <v>#N/A</v>
      </c>
      <c r="F1482" s="523" t="e">
        <f ca="1">IF(Errorhandling!$C$42,INDEX(Calc!$J$99:$J$109,MATCH(Display!B1482,Calc!$K$99:$K$109,0),1),#N/A)</f>
        <v>#N/A</v>
      </c>
    </row>
    <row r="1483" spans="2:6" x14ac:dyDescent="0.2">
      <c r="B1483" s="6">
        <f t="shared" si="27"/>
        <v>1480</v>
      </c>
      <c r="C1483" s="81" t="e">
        <f ca="1">VLOOKUP(B1483,Calc!$K$66:$L$76,2,FALSE)</f>
        <v>#N/A</v>
      </c>
      <c r="D1483" s="81" t="e">
        <f ca="1">VLOOKUP(B1483,Calc!$K$77:$L$87,2,FALSE)</f>
        <v>#N/A</v>
      </c>
      <c r="E1483" s="523" t="e">
        <f ca="1">VLOOKUP(B1483,Calc!$K$88:$L$98,2,FALSE)</f>
        <v>#N/A</v>
      </c>
      <c r="F1483" s="523" t="e">
        <f ca="1">IF(Errorhandling!$C$42,INDEX(Calc!$J$99:$J$109,MATCH(Display!B1483,Calc!$K$99:$K$109,0),1),#N/A)</f>
        <v>#N/A</v>
      </c>
    </row>
    <row r="1484" spans="2:6" x14ac:dyDescent="0.2">
      <c r="B1484" s="6">
        <f t="shared" si="27"/>
        <v>1481</v>
      </c>
      <c r="C1484" s="81" t="e">
        <f ca="1">VLOOKUP(B1484,Calc!$K$66:$L$76,2,FALSE)</f>
        <v>#N/A</v>
      </c>
      <c r="D1484" s="81" t="e">
        <f ca="1">VLOOKUP(B1484,Calc!$K$77:$L$87,2,FALSE)</f>
        <v>#N/A</v>
      </c>
      <c r="E1484" s="523" t="e">
        <f ca="1">VLOOKUP(B1484,Calc!$K$88:$L$98,2,FALSE)</f>
        <v>#N/A</v>
      </c>
      <c r="F1484" s="523" t="e">
        <f ca="1">IF(Errorhandling!$C$42,INDEX(Calc!$J$99:$J$109,MATCH(Display!B1484,Calc!$K$99:$K$109,0),1),#N/A)</f>
        <v>#N/A</v>
      </c>
    </row>
    <row r="1485" spans="2:6" x14ac:dyDescent="0.2">
      <c r="B1485" s="6">
        <f t="shared" si="27"/>
        <v>1482</v>
      </c>
      <c r="C1485" s="81" t="e">
        <f ca="1">VLOOKUP(B1485,Calc!$K$66:$L$76,2,FALSE)</f>
        <v>#N/A</v>
      </c>
      <c r="D1485" s="81" t="e">
        <f ca="1">VLOOKUP(B1485,Calc!$K$77:$L$87,2,FALSE)</f>
        <v>#N/A</v>
      </c>
      <c r="E1485" s="523" t="e">
        <f ca="1">VLOOKUP(B1485,Calc!$K$88:$L$98,2,FALSE)</f>
        <v>#N/A</v>
      </c>
      <c r="F1485" s="523" t="e">
        <f ca="1">IF(Errorhandling!$C$42,INDEX(Calc!$J$99:$J$109,MATCH(Display!B1485,Calc!$K$99:$K$109,0),1),#N/A)</f>
        <v>#N/A</v>
      </c>
    </row>
    <row r="1486" spans="2:6" x14ac:dyDescent="0.2">
      <c r="B1486" s="6">
        <f t="shared" si="27"/>
        <v>1483</v>
      </c>
      <c r="C1486" s="81" t="e">
        <f ca="1">VLOOKUP(B1486,Calc!$K$66:$L$76,2,FALSE)</f>
        <v>#N/A</v>
      </c>
      <c r="D1486" s="81" t="e">
        <f ca="1">VLOOKUP(B1486,Calc!$K$77:$L$87,2,FALSE)</f>
        <v>#N/A</v>
      </c>
      <c r="E1486" s="523" t="e">
        <f ca="1">VLOOKUP(B1486,Calc!$K$88:$L$98,2,FALSE)</f>
        <v>#N/A</v>
      </c>
      <c r="F1486" s="523" t="e">
        <f ca="1">IF(Errorhandling!$C$42,INDEX(Calc!$J$99:$J$109,MATCH(Display!B1486,Calc!$K$99:$K$109,0),1),#N/A)</f>
        <v>#N/A</v>
      </c>
    </row>
    <row r="1487" spans="2:6" x14ac:dyDescent="0.2">
      <c r="B1487" s="6">
        <f t="shared" si="27"/>
        <v>1484</v>
      </c>
      <c r="C1487" s="81" t="e">
        <f ca="1">VLOOKUP(B1487,Calc!$K$66:$L$76,2,FALSE)</f>
        <v>#N/A</v>
      </c>
      <c r="D1487" s="81" t="e">
        <f ca="1">VLOOKUP(B1487,Calc!$K$77:$L$87,2,FALSE)</f>
        <v>#N/A</v>
      </c>
      <c r="E1487" s="523" t="e">
        <f ca="1">VLOOKUP(B1487,Calc!$K$88:$L$98,2,FALSE)</f>
        <v>#N/A</v>
      </c>
      <c r="F1487" s="523" t="e">
        <f ca="1">IF(Errorhandling!$C$42,INDEX(Calc!$J$99:$J$109,MATCH(Display!B1487,Calc!$K$99:$K$109,0),1),#N/A)</f>
        <v>#N/A</v>
      </c>
    </row>
    <row r="1488" spans="2:6" x14ac:dyDescent="0.2">
      <c r="B1488" s="6">
        <f t="shared" si="27"/>
        <v>1485</v>
      </c>
      <c r="C1488" s="81" t="e">
        <f ca="1">VLOOKUP(B1488,Calc!$K$66:$L$76,2,FALSE)</f>
        <v>#N/A</v>
      </c>
      <c r="D1488" s="81" t="e">
        <f ca="1">VLOOKUP(B1488,Calc!$K$77:$L$87,2,FALSE)</f>
        <v>#N/A</v>
      </c>
      <c r="E1488" s="523" t="e">
        <f ca="1">VLOOKUP(B1488,Calc!$K$88:$L$98,2,FALSE)</f>
        <v>#N/A</v>
      </c>
      <c r="F1488" s="523" t="e">
        <f ca="1">IF(Errorhandling!$C$42,INDEX(Calc!$J$99:$J$109,MATCH(Display!B1488,Calc!$K$99:$K$109,0),1),#N/A)</f>
        <v>#N/A</v>
      </c>
    </row>
    <row r="1489" spans="2:6" x14ac:dyDescent="0.2">
      <c r="B1489" s="6">
        <f t="shared" si="27"/>
        <v>1486</v>
      </c>
      <c r="C1489" s="81" t="e">
        <f ca="1">VLOOKUP(B1489,Calc!$K$66:$L$76,2,FALSE)</f>
        <v>#N/A</v>
      </c>
      <c r="D1489" s="81" t="e">
        <f ca="1">VLOOKUP(B1489,Calc!$K$77:$L$87,2,FALSE)</f>
        <v>#N/A</v>
      </c>
      <c r="E1489" s="523" t="e">
        <f ca="1">VLOOKUP(B1489,Calc!$K$88:$L$98,2,FALSE)</f>
        <v>#N/A</v>
      </c>
      <c r="F1489" s="523" t="e">
        <f ca="1">IF(Errorhandling!$C$42,INDEX(Calc!$J$99:$J$109,MATCH(Display!B1489,Calc!$K$99:$K$109,0),1),#N/A)</f>
        <v>#N/A</v>
      </c>
    </row>
    <row r="1490" spans="2:6" x14ac:dyDescent="0.2">
      <c r="B1490" s="6">
        <f t="shared" si="27"/>
        <v>1487</v>
      </c>
      <c r="C1490" s="81" t="e">
        <f ca="1">VLOOKUP(B1490,Calc!$K$66:$L$76,2,FALSE)</f>
        <v>#N/A</v>
      </c>
      <c r="D1490" s="81" t="e">
        <f ca="1">VLOOKUP(B1490,Calc!$K$77:$L$87,2,FALSE)</f>
        <v>#N/A</v>
      </c>
      <c r="E1490" s="523" t="e">
        <f ca="1">VLOOKUP(B1490,Calc!$K$88:$L$98,2,FALSE)</f>
        <v>#N/A</v>
      </c>
      <c r="F1490" s="523" t="e">
        <f ca="1">IF(Errorhandling!$C$42,INDEX(Calc!$J$99:$J$109,MATCH(Display!B1490,Calc!$K$99:$K$109,0),1),#N/A)</f>
        <v>#N/A</v>
      </c>
    </row>
    <row r="1491" spans="2:6" x14ac:dyDescent="0.2">
      <c r="B1491" s="6">
        <f t="shared" si="27"/>
        <v>1488</v>
      </c>
      <c r="C1491" s="81" t="e">
        <f ca="1">VLOOKUP(B1491,Calc!$K$66:$L$76,2,FALSE)</f>
        <v>#N/A</v>
      </c>
      <c r="D1491" s="81" t="e">
        <f ca="1">VLOOKUP(B1491,Calc!$K$77:$L$87,2,FALSE)</f>
        <v>#N/A</v>
      </c>
      <c r="E1491" s="523" t="e">
        <f ca="1">VLOOKUP(B1491,Calc!$K$88:$L$98,2,FALSE)</f>
        <v>#N/A</v>
      </c>
      <c r="F1491" s="523" t="e">
        <f ca="1">IF(Errorhandling!$C$42,INDEX(Calc!$J$99:$J$109,MATCH(Display!B1491,Calc!$K$99:$K$109,0),1),#N/A)</f>
        <v>#N/A</v>
      </c>
    </row>
    <row r="1492" spans="2:6" x14ac:dyDescent="0.2">
      <c r="B1492" s="6">
        <f t="shared" si="27"/>
        <v>1489</v>
      </c>
      <c r="C1492" s="81" t="e">
        <f ca="1">VLOOKUP(B1492,Calc!$K$66:$L$76,2,FALSE)</f>
        <v>#N/A</v>
      </c>
      <c r="D1492" s="81" t="e">
        <f ca="1">VLOOKUP(B1492,Calc!$K$77:$L$87,2,FALSE)</f>
        <v>#N/A</v>
      </c>
      <c r="E1492" s="523" t="e">
        <f ca="1">VLOOKUP(B1492,Calc!$K$88:$L$98,2,FALSE)</f>
        <v>#N/A</v>
      </c>
      <c r="F1492" s="523" t="e">
        <f ca="1">IF(Errorhandling!$C$42,INDEX(Calc!$J$99:$J$109,MATCH(Display!B1492,Calc!$K$99:$K$109,0),1),#N/A)</f>
        <v>#N/A</v>
      </c>
    </row>
    <row r="1493" spans="2:6" x14ac:dyDescent="0.2">
      <c r="B1493" s="6">
        <f t="shared" si="27"/>
        <v>1490</v>
      </c>
      <c r="C1493" s="81" t="e">
        <f ca="1">VLOOKUP(B1493,Calc!$K$66:$L$76,2,FALSE)</f>
        <v>#N/A</v>
      </c>
      <c r="D1493" s="81" t="e">
        <f ca="1">VLOOKUP(B1493,Calc!$K$77:$L$87,2,FALSE)</f>
        <v>#N/A</v>
      </c>
      <c r="E1493" s="523" t="e">
        <f ca="1">VLOOKUP(B1493,Calc!$K$88:$L$98,2,FALSE)</f>
        <v>#N/A</v>
      </c>
      <c r="F1493" s="523" t="e">
        <f ca="1">IF(Errorhandling!$C$42,INDEX(Calc!$J$99:$J$109,MATCH(Display!B1493,Calc!$K$99:$K$109,0),1),#N/A)</f>
        <v>#N/A</v>
      </c>
    </row>
    <row r="1494" spans="2:6" x14ac:dyDescent="0.2">
      <c r="B1494" s="6">
        <f t="shared" si="27"/>
        <v>1491</v>
      </c>
      <c r="C1494" s="81" t="e">
        <f ca="1">VLOOKUP(B1494,Calc!$K$66:$L$76,2,FALSE)</f>
        <v>#N/A</v>
      </c>
      <c r="D1494" s="81" t="e">
        <f ca="1">VLOOKUP(B1494,Calc!$K$77:$L$87,2,FALSE)</f>
        <v>#N/A</v>
      </c>
      <c r="E1494" s="523" t="e">
        <f ca="1">VLOOKUP(B1494,Calc!$K$88:$L$98,2,FALSE)</f>
        <v>#N/A</v>
      </c>
      <c r="F1494" s="523" t="e">
        <f ca="1">IF(Errorhandling!$C$42,INDEX(Calc!$J$99:$J$109,MATCH(Display!B1494,Calc!$K$99:$K$109,0),1),#N/A)</f>
        <v>#N/A</v>
      </c>
    </row>
    <row r="1495" spans="2:6" x14ac:dyDescent="0.2">
      <c r="B1495" s="6">
        <f t="shared" si="27"/>
        <v>1492</v>
      </c>
      <c r="C1495" s="81" t="e">
        <f ca="1">VLOOKUP(B1495,Calc!$K$66:$L$76,2,FALSE)</f>
        <v>#N/A</v>
      </c>
      <c r="D1495" s="81" t="e">
        <f ca="1">VLOOKUP(B1495,Calc!$K$77:$L$87,2,FALSE)</f>
        <v>#N/A</v>
      </c>
      <c r="E1495" s="523" t="e">
        <f ca="1">VLOOKUP(B1495,Calc!$K$88:$L$98,2,FALSE)</f>
        <v>#N/A</v>
      </c>
      <c r="F1495" s="523" t="e">
        <f ca="1">IF(Errorhandling!$C$42,INDEX(Calc!$J$99:$J$109,MATCH(Display!B1495,Calc!$K$99:$K$109,0),1),#N/A)</f>
        <v>#N/A</v>
      </c>
    </row>
    <row r="1496" spans="2:6" x14ac:dyDescent="0.2">
      <c r="B1496" s="6">
        <f t="shared" si="27"/>
        <v>1493</v>
      </c>
      <c r="C1496" s="81" t="e">
        <f ca="1">VLOOKUP(B1496,Calc!$K$66:$L$76,2,FALSE)</f>
        <v>#N/A</v>
      </c>
      <c r="D1496" s="81" t="e">
        <f ca="1">VLOOKUP(B1496,Calc!$K$77:$L$87,2,FALSE)</f>
        <v>#N/A</v>
      </c>
      <c r="E1496" s="523" t="e">
        <f ca="1">VLOOKUP(B1496,Calc!$K$88:$L$98,2,FALSE)</f>
        <v>#N/A</v>
      </c>
      <c r="F1496" s="523" t="e">
        <f ca="1">IF(Errorhandling!$C$42,INDEX(Calc!$J$99:$J$109,MATCH(Display!B1496,Calc!$K$99:$K$109,0),1),#N/A)</f>
        <v>#N/A</v>
      </c>
    </row>
    <row r="1497" spans="2:6" x14ac:dyDescent="0.2">
      <c r="B1497" s="6">
        <f t="shared" si="27"/>
        <v>1494</v>
      </c>
      <c r="C1497" s="81" t="e">
        <f ca="1">VLOOKUP(B1497,Calc!$K$66:$L$76,2,FALSE)</f>
        <v>#N/A</v>
      </c>
      <c r="D1497" s="81" t="e">
        <f ca="1">VLOOKUP(B1497,Calc!$K$77:$L$87,2,FALSE)</f>
        <v>#N/A</v>
      </c>
      <c r="E1497" s="523" t="e">
        <f ca="1">VLOOKUP(B1497,Calc!$K$88:$L$98,2,FALSE)</f>
        <v>#N/A</v>
      </c>
      <c r="F1497" s="523" t="e">
        <f ca="1">IF(Errorhandling!$C$42,INDEX(Calc!$J$99:$J$109,MATCH(Display!B1497,Calc!$K$99:$K$109,0),1),#N/A)</f>
        <v>#N/A</v>
      </c>
    </row>
    <row r="1498" spans="2:6" x14ac:dyDescent="0.2">
      <c r="B1498" s="6">
        <f t="shared" si="27"/>
        <v>1495</v>
      </c>
      <c r="C1498" s="81" t="e">
        <f ca="1">VLOOKUP(B1498,Calc!$K$66:$L$76,2,FALSE)</f>
        <v>#N/A</v>
      </c>
      <c r="D1498" s="81" t="e">
        <f ca="1">VLOOKUP(B1498,Calc!$K$77:$L$87,2,FALSE)</f>
        <v>#N/A</v>
      </c>
      <c r="E1498" s="523" t="e">
        <f ca="1">VLOOKUP(B1498,Calc!$K$88:$L$98,2,FALSE)</f>
        <v>#N/A</v>
      </c>
      <c r="F1498" s="523" t="e">
        <f ca="1">IF(Errorhandling!$C$42,INDEX(Calc!$J$99:$J$109,MATCH(Display!B1498,Calc!$K$99:$K$109,0),1),#N/A)</f>
        <v>#N/A</v>
      </c>
    </row>
    <row r="1499" spans="2:6" x14ac:dyDescent="0.2">
      <c r="B1499" s="6">
        <f t="shared" si="27"/>
        <v>1496</v>
      </c>
      <c r="C1499" s="81" t="e">
        <f ca="1">VLOOKUP(B1499,Calc!$K$66:$L$76,2,FALSE)</f>
        <v>#N/A</v>
      </c>
      <c r="D1499" s="81" t="e">
        <f ca="1">VLOOKUP(B1499,Calc!$K$77:$L$87,2,FALSE)</f>
        <v>#N/A</v>
      </c>
      <c r="E1499" s="523" t="e">
        <f ca="1">VLOOKUP(B1499,Calc!$K$88:$L$98,2,FALSE)</f>
        <v>#N/A</v>
      </c>
      <c r="F1499" s="523" t="e">
        <f ca="1">IF(Errorhandling!$C$42,INDEX(Calc!$J$99:$J$109,MATCH(Display!B1499,Calc!$K$99:$K$109,0),1),#N/A)</f>
        <v>#N/A</v>
      </c>
    </row>
    <row r="1500" spans="2:6" x14ac:dyDescent="0.2">
      <c r="B1500" s="6">
        <f t="shared" si="27"/>
        <v>1497</v>
      </c>
      <c r="C1500" s="81" t="e">
        <f ca="1">VLOOKUP(B1500,Calc!$K$66:$L$76,2,FALSE)</f>
        <v>#N/A</v>
      </c>
      <c r="D1500" s="81" t="e">
        <f ca="1">VLOOKUP(B1500,Calc!$K$77:$L$87,2,FALSE)</f>
        <v>#N/A</v>
      </c>
      <c r="E1500" s="523" t="e">
        <f ca="1">VLOOKUP(B1500,Calc!$K$88:$L$98,2,FALSE)</f>
        <v>#N/A</v>
      </c>
      <c r="F1500" s="523" t="e">
        <f ca="1">IF(Errorhandling!$C$42,INDEX(Calc!$J$99:$J$109,MATCH(Display!B1500,Calc!$K$99:$K$109,0),1),#N/A)</f>
        <v>#N/A</v>
      </c>
    </row>
    <row r="1501" spans="2:6" x14ac:dyDescent="0.2">
      <c r="B1501" s="6">
        <f t="shared" si="27"/>
        <v>1498</v>
      </c>
      <c r="C1501" s="81" t="e">
        <f ca="1">VLOOKUP(B1501,Calc!$K$66:$L$76,2,FALSE)</f>
        <v>#N/A</v>
      </c>
      <c r="D1501" s="81" t="e">
        <f ca="1">VLOOKUP(B1501,Calc!$K$77:$L$87,2,FALSE)</f>
        <v>#N/A</v>
      </c>
      <c r="E1501" s="523" t="e">
        <f ca="1">VLOOKUP(B1501,Calc!$K$88:$L$98,2,FALSE)</f>
        <v>#N/A</v>
      </c>
      <c r="F1501" s="523" t="e">
        <f ca="1">IF(Errorhandling!$C$42,INDEX(Calc!$J$99:$J$109,MATCH(Display!B1501,Calc!$K$99:$K$109,0),1),#N/A)</f>
        <v>#N/A</v>
      </c>
    </row>
    <row r="1502" spans="2:6" x14ac:dyDescent="0.2">
      <c r="B1502" s="6">
        <f t="shared" si="27"/>
        <v>1499</v>
      </c>
      <c r="C1502" s="81" t="e">
        <f ca="1">VLOOKUP(B1502,Calc!$K$66:$L$76,2,FALSE)</f>
        <v>#N/A</v>
      </c>
      <c r="D1502" s="81" t="e">
        <f ca="1">VLOOKUP(B1502,Calc!$K$77:$L$87,2,FALSE)</f>
        <v>#N/A</v>
      </c>
      <c r="E1502" s="523" t="e">
        <f ca="1">VLOOKUP(B1502,Calc!$K$88:$L$98,2,FALSE)</f>
        <v>#N/A</v>
      </c>
      <c r="F1502" s="523" t="e">
        <f ca="1">IF(Errorhandling!$C$42,INDEX(Calc!$J$99:$J$109,MATCH(Display!B1502,Calc!$K$99:$K$109,0),1),#N/A)</f>
        <v>#N/A</v>
      </c>
    </row>
    <row r="1503" spans="2:6" x14ac:dyDescent="0.2">
      <c r="B1503" s="6">
        <f t="shared" si="27"/>
        <v>1500</v>
      </c>
      <c r="C1503" s="81" t="e">
        <f ca="1">VLOOKUP(B1503,Calc!$K$66:$L$76,2,FALSE)</f>
        <v>#N/A</v>
      </c>
      <c r="D1503" s="81" t="e">
        <f ca="1">VLOOKUP(B1503,Calc!$K$77:$L$87,2,FALSE)</f>
        <v>#N/A</v>
      </c>
      <c r="E1503" s="523" t="e">
        <f ca="1">VLOOKUP(B1503,Calc!$K$88:$L$98,2,FALSE)</f>
        <v>#N/A</v>
      </c>
      <c r="F1503" s="523" t="e">
        <f ca="1">IF(Errorhandling!$C$42,INDEX(Calc!$J$99:$J$109,MATCH(Display!B1503,Calc!$K$99:$K$109,0),1),#N/A)</f>
        <v>#N/A</v>
      </c>
    </row>
    <row r="1504" spans="2:6" x14ac:dyDescent="0.2">
      <c r="B1504" s="6">
        <f t="shared" si="27"/>
        <v>1501</v>
      </c>
      <c r="C1504" s="81" t="e">
        <f ca="1">VLOOKUP(B1504,Calc!$K$66:$L$76,2,FALSE)</f>
        <v>#N/A</v>
      </c>
      <c r="D1504" s="81" t="e">
        <f ca="1">VLOOKUP(B1504,Calc!$K$77:$L$87,2,FALSE)</f>
        <v>#N/A</v>
      </c>
      <c r="E1504" s="523" t="e">
        <f ca="1">VLOOKUP(B1504,Calc!$K$88:$L$98,2,FALSE)</f>
        <v>#N/A</v>
      </c>
      <c r="F1504" s="523" t="e">
        <f ca="1">IF(Errorhandling!$C$42,INDEX(Calc!$J$99:$J$109,MATCH(Display!B1504,Calc!$K$99:$K$109,0),1),#N/A)</f>
        <v>#N/A</v>
      </c>
    </row>
    <row r="1505" spans="2:6" x14ac:dyDescent="0.2">
      <c r="B1505" s="6">
        <f t="shared" si="27"/>
        <v>1502</v>
      </c>
      <c r="C1505" s="81" t="e">
        <f ca="1">VLOOKUP(B1505,Calc!$K$66:$L$76,2,FALSE)</f>
        <v>#N/A</v>
      </c>
      <c r="D1505" s="81" t="e">
        <f ca="1">VLOOKUP(B1505,Calc!$K$77:$L$87,2,FALSE)</f>
        <v>#N/A</v>
      </c>
      <c r="E1505" s="523" t="e">
        <f ca="1">VLOOKUP(B1505,Calc!$K$88:$L$98,2,FALSE)</f>
        <v>#N/A</v>
      </c>
      <c r="F1505" s="523" t="e">
        <f ca="1">IF(Errorhandling!$C$42,INDEX(Calc!$J$99:$J$109,MATCH(Display!B1505,Calc!$K$99:$K$109,0),1),#N/A)</f>
        <v>#N/A</v>
      </c>
    </row>
    <row r="1506" spans="2:6" x14ac:dyDescent="0.2">
      <c r="B1506" s="6">
        <f t="shared" si="27"/>
        <v>1503</v>
      </c>
      <c r="C1506" s="81" t="e">
        <f ca="1">VLOOKUP(B1506,Calc!$K$66:$L$76,2,FALSE)</f>
        <v>#N/A</v>
      </c>
      <c r="D1506" s="81" t="e">
        <f ca="1">VLOOKUP(B1506,Calc!$K$77:$L$87,2,FALSE)</f>
        <v>#N/A</v>
      </c>
      <c r="E1506" s="523" t="e">
        <f ca="1">VLOOKUP(B1506,Calc!$K$88:$L$98,2,FALSE)</f>
        <v>#N/A</v>
      </c>
      <c r="F1506" s="523" t="e">
        <f ca="1">IF(Errorhandling!$C$42,INDEX(Calc!$J$99:$J$109,MATCH(Display!B1506,Calc!$K$99:$K$109,0),1),#N/A)</f>
        <v>#N/A</v>
      </c>
    </row>
    <row r="1507" spans="2:6" x14ac:dyDescent="0.2">
      <c r="B1507" s="6">
        <f t="shared" si="27"/>
        <v>1504</v>
      </c>
      <c r="C1507" s="81" t="e">
        <f ca="1">VLOOKUP(B1507,Calc!$K$66:$L$76,2,FALSE)</f>
        <v>#N/A</v>
      </c>
      <c r="D1507" s="81" t="e">
        <f ca="1">VLOOKUP(B1507,Calc!$K$77:$L$87,2,FALSE)</f>
        <v>#N/A</v>
      </c>
      <c r="E1507" s="523" t="e">
        <f ca="1">VLOOKUP(B1507,Calc!$K$88:$L$98,2,FALSE)</f>
        <v>#N/A</v>
      </c>
      <c r="F1507" s="523" t="e">
        <f ca="1">IF(Errorhandling!$C$42,INDEX(Calc!$J$99:$J$109,MATCH(Display!B1507,Calc!$K$99:$K$109,0),1),#N/A)</f>
        <v>#N/A</v>
      </c>
    </row>
    <row r="1508" spans="2:6" x14ac:dyDescent="0.2">
      <c r="B1508" s="6">
        <f t="shared" si="27"/>
        <v>1505</v>
      </c>
      <c r="C1508" s="81" t="e">
        <f ca="1">VLOOKUP(B1508,Calc!$K$66:$L$76,2,FALSE)</f>
        <v>#N/A</v>
      </c>
      <c r="D1508" s="81" t="e">
        <f ca="1">VLOOKUP(B1508,Calc!$K$77:$L$87,2,FALSE)</f>
        <v>#N/A</v>
      </c>
      <c r="E1508" s="523" t="e">
        <f ca="1">VLOOKUP(B1508,Calc!$K$88:$L$98,2,FALSE)</f>
        <v>#N/A</v>
      </c>
      <c r="F1508" s="523" t="e">
        <f ca="1">IF(Errorhandling!$C$42,INDEX(Calc!$J$99:$J$109,MATCH(Display!B1508,Calc!$K$99:$K$109,0),1),#N/A)</f>
        <v>#N/A</v>
      </c>
    </row>
    <row r="1509" spans="2:6" x14ac:dyDescent="0.2">
      <c r="B1509" s="6">
        <f t="shared" si="27"/>
        <v>1506</v>
      </c>
      <c r="C1509" s="81" t="e">
        <f ca="1">VLOOKUP(B1509,Calc!$K$66:$L$76,2,FALSE)</f>
        <v>#N/A</v>
      </c>
      <c r="D1509" s="81" t="e">
        <f ca="1">VLOOKUP(B1509,Calc!$K$77:$L$87,2,FALSE)</f>
        <v>#N/A</v>
      </c>
      <c r="E1509" s="523" t="e">
        <f ca="1">VLOOKUP(B1509,Calc!$K$88:$L$98,2,FALSE)</f>
        <v>#N/A</v>
      </c>
      <c r="F1509" s="523" t="e">
        <f ca="1">IF(Errorhandling!$C$42,INDEX(Calc!$J$99:$J$109,MATCH(Display!B1509,Calc!$K$99:$K$109,0),1),#N/A)</f>
        <v>#N/A</v>
      </c>
    </row>
    <row r="1510" spans="2:6" x14ac:dyDescent="0.2">
      <c r="B1510" s="6">
        <f t="shared" si="27"/>
        <v>1507</v>
      </c>
      <c r="C1510" s="81" t="e">
        <f ca="1">VLOOKUP(B1510,Calc!$K$66:$L$76,2,FALSE)</f>
        <v>#N/A</v>
      </c>
      <c r="D1510" s="81" t="e">
        <f ca="1">VLOOKUP(B1510,Calc!$K$77:$L$87,2,FALSE)</f>
        <v>#N/A</v>
      </c>
      <c r="E1510" s="523" t="e">
        <f ca="1">VLOOKUP(B1510,Calc!$K$88:$L$98,2,FALSE)</f>
        <v>#N/A</v>
      </c>
      <c r="F1510" s="523" t="e">
        <f ca="1">IF(Errorhandling!$C$42,INDEX(Calc!$J$99:$J$109,MATCH(Display!B1510,Calc!$K$99:$K$109,0),1),#N/A)</f>
        <v>#N/A</v>
      </c>
    </row>
    <row r="1511" spans="2:6" x14ac:dyDescent="0.2">
      <c r="B1511" s="6">
        <f t="shared" si="27"/>
        <v>1508</v>
      </c>
      <c r="C1511" s="81" t="e">
        <f ca="1">VLOOKUP(B1511,Calc!$K$66:$L$76,2,FALSE)</f>
        <v>#N/A</v>
      </c>
      <c r="D1511" s="81" t="e">
        <f ca="1">VLOOKUP(B1511,Calc!$K$77:$L$87,2,FALSE)</f>
        <v>#N/A</v>
      </c>
      <c r="E1511" s="523" t="e">
        <f ca="1">VLOOKUP(B1511,Calc!$K$88:$L$98,2,FALSE)</f>
        <v>#N/A</v>
      </c>
      <c r="F1511" s="523" t="e">
        <f ca="1">IF(Errorhandling!$C$42,INDEX(Calc!$J$99:$J$109,MATCH(Display!B1511,Calc!$K$99:$K$109,0),1),#N/A)</f>
        <v>#N/A</v>
      </c>
    </row>
    <row r="1512" spans="2:6" x14ac:dyDescent="0.2">
      <c r="B1512" s="6">
        <f t="shared" si="27"/>
        <v>1509</v>
      </c>
      <c r="C1512" s="81" t="e">
        <f ca="1">VLOOKUP(B1512,Calc!$K$66:$L$76,2,FALSE)</f>
        <v>#N/A</v>
      </c>
      <c r="D1512" s="81" t="e">
        <f ca="1">VLOOKUP(B1512,Calc!$K$77:$L$87,2,FALSE)</f>
        <v>#N/A</v>
      </c>
      <c r="E1512" s="523" t="e">
        <f ca="1">VLOOKUP(B1512,Calc!$K$88:$L$98,2,FALSE)</f>
        <v>#N/A</v>
      </c>
      <c r="F1512" s="523" t="e">
        <f ca="1">IF(Errorhandling!$C$42,INDEX(Calc!$J$99:$J$109,MATCH(Display!B1512,Calc!$K$99:$K$109,0),1),#N/A)</f>
        <v>#N/A</v>
      </c>
    </row>
    <row r="1513" spans="2:6" x14ac:dyDescent="0.2">
      <c r="B1513" s="6">
        <f t="shared" si="27"/>
        <v>1510</v>
      </c>
      <c r="C1513" s="81" t="e">
        <f ca="1">VLOOKUP(B1513,Calc!$K$66:$L$76,2,FALSE)</f>
        <v>#N/A</v>
      </c>
      <c r="D1513" s="81" t="e">
        <f ca="1">VLOOKUP(B1513,Calc!$K$77:$L$87,2,FALSE)</f>
        <v>#N/A</v>
      </c>
      <c r="E1513" s="523" t="e">
        <f ca="1">VLOOKUP(B1513,Calc!$K$88:$L$98,2,FALSE)</f>
        <v>#N/A</v>
      </c>
      <c r="F1513" s="523" t="e">
        <f ca="1">IF(Errorhandling!$C$42,INDEX(Calc!$J$99:$J$109,MATCH(Display!B1513,Calc!$K$99:$K$109,0),1),#N/A)</f>
        <v>#N/A</v>
      </c>
    </row>
    <row r="1514" spans="2:6" x14ac:dyDescent="0.2">
      <c r="B1514" s="6">
        <f t="shared" si="27"/>
        <v>1511</v>
      </c>
      <c r="C1514" s="81" t="e">
        <f ca="1">VLOOKUP(B1514,Calc!$K$66:$L$76,2,FALSE)</f>
        <v>#N/A</v>
      </c>
      <c r="D1514" s="81" t="e">
        <f ca="1">VLOOKUP(B1514,Calc!$K$77:$L$87,2,FALSE)</f>
        <v>#N/A</v>
      </c>
      <c r="E1514" s="523" t="e">
        <f ca="1">VLOOKUP(B1514,Calc!$K$88:$L$98,2,FALSE)</f>
        <v>#N/A</v>
      </c>
      <c r="F1514" s="523" t="e">
        <f ca="1">IF(Errorhandling!$C$42,INDEX(Calc!$J$99:$J$109,MATCH(Display!B1514,Calc!$K$99:$K$109,0),1),#N/A)</f>
        <v>#N/A</v>
      </c>
    </row>
    <row r="1515" spans="2:6" x14ac:dyDescent="0.2">
      <c r="B1515" s="6">
        <f t="shared" si="27"/>
        <v>1512</v>
      </c>
      <c r="C1515" s="81" t="e">
        <f ca="1">VLOOKUP(B1515,Calc!$K$66:$L$76,2,FALSE)</f>
        <v>#N/A</v>
      </c>
      <c r="D1515" s="81" t="e">
        <f ca="1">VLOOKUP(B1515,Calc!$K$77:$L$87,2,FALSE)</f>
        <v>#N/A</v>
      </c>
      <c r="E1515" s="523" t="e">
        <f ca="1">VLOOKUP(B1515,Calc!$K$88:$L$98,2,FALSE)</f>
        <v>#N/A</v>
      </c>
      <c r="F1515" s="523" t="e">
        <f ca="1">IF(Errorhandling!$C$42,INDEX(Calc!$J$99:$J$109,MATCH(Display!B1515,Calc!$K$99:$K$109,0),1),#N/A)</f>
        <v>#N/A</v>
      </c>
    </row>
    <row r="1516" spans="2:6" x14ac:dyDescent="0.2">
      <c r="B1516" s="6">
        <f t="shared" si="27"/>
        <v>1513</v>
      </c>
      <c r="C1516" s="81" t="e">
        <f ca="1">VLOOKUP(B1516,Calc!$K$66:$L$76,2,FALSE)</f>
        <v>#N/A</v>
      </c>
      <c r="D1516" s="81" t="e">
        <f ca="1">VLOOKUP(B1516,Calc!$K$77:$L$87,2,FALSE)</f>
        <v>#N/A</v>
      </c>
      <c r="E1516" s="523" t="e">
        <f ca="1">VLOOKUP(B1516,Calc!$K$88:$L$98,2,FALSE)</f>
        <v>#N/A</v>
      </c>
      <c r="F1516" s="523" t="e">
        <f ca="1">IF(Errorhandling!$C$42,INDEX(Calc!$J$99:$J$109,MATCH(Display!B1516,Calc!$K$99:$K$109,0),1),#N/A)</f>
        <v>#N/A</v>
      </c>
    </row>
    <row r="1517" spans="2:6" x14ac:dyDescent="0.2">
      <c r="B1517" s="6">
        <f t="shared" si="27"/>
        <v>1514</v>
      </c>
      <c r="C1517" s="81" t="e">
        <f ca="1">VLOOKUP(B1517,Calc!$K$66:$L$76,2,FALSE)</f>
        <v>#N/A</v>
      </c>
      <c r="D1517" s="81" t="e">
        <f ca="1">VLOOKUP(B1517,Calc!$K$77:$L$87,2,FALSE)</f>
        <v>#N/A</v>
      </c>
      <c r="E1517" s="523" t="e">
        <f ca="1">VLOOKUP(B1517,Calc!$K$88:$L$98,2,FALSE)</f>
        <v>#N/A</v>
      </c>
      <c r="F1517" s="523" t="e">
        <f ca="1">IF(Errorhandling!$C$42,INDEX(Calc!$J$99:$J$109,MATCH(Display!B1517,Calc!$K$99:$K$109,0),1),#N/A)</f>
        <v>#N/A</v>
      </c>
    </row>
    <row r="1518" spans="2:6" x14ac:dyDescent="0.2">
      <c r="B1518" s="6">
        <f t="shared" si="27"/>
        <v>1515</v>
      </c>
      <c r="C1518" s="81" t="e">
        <f ca="1">VLOOKUP(B1518,Calc!$K$66:$L$76,2,FALSE)</f>
        <v>#N/A</v>
      </c>
      <c r="D1518" s="81" t="e">
        <f ca="1">VLOOKUP(B1518,Calc!$K$77:$L$87,2,FALSE)</f>
        <v>#N/A</v>
      </c>
      <c r="E1518" s="523" t="e">
        <f ca="1">VLOOKUP(B1518,Calc!$K$88:$L$98,2,FALSE)</f>
        <v>#N/A</v>
      </c>
      <c r="F1518" s="523" t="e">
        <f ca="1">IF(Errorhandling!$C$42,INDEX(Calc!$J$99:$J$109,MATCH(Display!B1518,Calc!$K$99:$K$109,0),1),#N/A)</f>
        <v>#N/A</v>
      </c>
    </row>
    <row r="1519" spans="2:6" x14ac:dyDescent="0.2">
      <c r="B1519" s="6">
        <f t="shared" si="27"/>
        <v>1516</v>
      </c>
      <c r="C1519" s="81" t="e">
        <f ca="1">VLOOKUP(B1519,Calc!$K$66:$L$76,2,FALSE)</f>
        <v>#N/A</v>
      </c>
      <c r="D1519" s="81" t="e">
        <f ca="1">VLOOKUP(B1519,Calc!$K$77:$L$87,2,FALSE)</f>
        <v>#N/A</v>
      </c>
      <c r="E1519" s="523" t="e">
        <f ca="1">VLOOKUP(B1519,Calc!$K$88:$L$98,2,FALSE)</f>
        <v>#N/A</v>
      </c>
      <c r="F1519" s="523" t="e">
        <f ca="1">IF(Errorhandling!$C$42,INDEX(Calc!$J$99:$J$109,MATCH(Display!B1519,Calc!$K$99:$K$109,0),1),#N/A)</f>
        <v>#N/A</v>
      </c>
    </row>
    <row r="1520" spans="2:6" x14ac:dyDescent="0.2">
      <c r="B1520" s="6">
        <f t="shared" si="27"/>
        <v>1517</v>
      </c>
      <c r="C1520" s="81" t="e">
        <f ca="1">VLOOKUP(B1520,Calc!$K$66:$L$76,2,FALSE)</f>
        <v>#N/A</v>
      </c>
      <c r="D1520" s="81" t="e">
        <f ca="1">VLOOKUP(B1520,Calc!$K$77:$L$87,2,FALSE)</f>
        <v>#N/A</v>
      </c>
      <c r="E1520" s="523" t="e">
        <f ca="1">VLOOKUP(B1520,Calc!$K$88:$L$98,2,FALSE)</f>
        <v>#N/A</v>
      </c>
      <c r="F1520" s="523" t="e">
        <f ca="1">IF(Errorhandling!$C$42,INDEX(Calc!$J$99:$J$109,MATCH(Display!B1520,Calc!$K$99:$K$109,0),1),#N/A)</f>
        <v>#N/A</v>
      </c>
    </row>
    <row r="1521" spans="2:6" x14ac:dyDescent="0.2">
      <c r="B1521" s="6">
        <f t="shared" si="27"/>
        <v>1518</v>
      </c>
      <c r="C1521" s="81" t="e">
        <f ca="1">VLOOKUP(B1521,Calc!$K$66:$L$76,2,FALSE)</f>
        <v>#N/A</v>
      </c>
      <c r="D1521" s="81" t="e">
        <f ca="1">VLOOKUP(B1521,Calc!$K$77:$L$87,2,FALSE)</f>
        <v>#N/A</v>
      </c>
      <c r="E1521" s="523" t="e">
        <f ca="1">VLOOKUP(B1521,Calc!$K$88:$L$98,2,FALSE)</f>
        <v>#N/A</v>
      </c>
      <c r="F1521" s="523" t="e">
        <f ca="1">IF(Errorhandling!$C$42,INDEX(Calc!$J$99:$J$109,MATCH(Display!B1521,Calc!$K$99:$K$109,0),1),#N/A)</f>
        <v>#N/A</v>
      </c>
    </row>
    <row r="1522" spans="2:6" x14ac:dyDescent="0.2">
      <c r="B1522" s="6">
        <f t="shared" si="27"/>
        <v>1519</v>
      </c>
      <c r="C1522" s="81" t="e">
        <f ca="1">VLOOKUP(B1522,Calc!$K$66:$L$76,2,FALSE)</f>
        <v>#N/A</v>
      </c>
      <c r="D1522" s="81" t="e">
        <f ca="1">VLOOKUP(B1522,Calc!$K$77:$L$87,2,FALSE)</f>
        <v>#N/A</v>
      </c>
      <c r="E1522" s="523" t="e">
        <f ca="1">VLOOKUP(B1522,Calc!$K$88:$L$98,2,FALSE)</f>
        <v>#N/A</v>
      </c>
      <c r="F1522" s="523" t="e">
        <f ca="1">IF(Errorhandling!$C$42,INDEX(Calc!$J$99:$J$109,MATCH(Display!B1522,Calc!$K$99:$K$109,0),1),#N/A)</f>
        <v>#N/A</v>
      </c>
    </row>
    <row r="1523" spans="2:6" x14ac:dyDescent="0.2">
      <c r="B1523" s="6">
        <f t="shared" si="27"/>
        <v>1520</v>
      </c>
      <c r="C1523" s="81" t="e">
        <f ca="1">VLOOKUP(B1523,Calc!$K$66:$L$76,2,FALSE)</f>
        <v>#N/A</v>
      </c>
      <c r="D1523" s="81" t="e">
        <f ca="1">VLOOKUP(B1523,Calc!$K$77:$L$87,2,FALSE)</f>
        <v>#N/A</v>
      </c>
      <c r="E1523" s="523" t="e">
        <f ca="1">VLOOKUP(B1523,Calc!$K$88:$L$98,2,FALSE)</f>
        <v>#N/A</v>
      </c>
      <c r="F1523" s="523" t="e">
        <f ca="1">IF(Errorhandling!$C$42,INDEX(Calc!$J$99:$J$109,MATCH(Display!B1523,Calc!$K$99:$K$109,0),1),#N/A)</f>
        <v>#N/A</v>
      </c>
    </row>
    <row r="1524" spans="2:6" x14ac:dyDescent="0.2">
      <c r="B1524" s="6">
        <f t="shared" si="27"/>
        <v>1521</v>
      </c>
      <c r="C1524" s="81" t="e">
        <f ca="1">VLOOKUP(B1524,Calc!$K$66:$L$76,2,FALSE)</f>
        <v>#N/A</v>
      </c>
      <c r="D1524" s="81" t="e">
        <f ca="1">VLOOKUP(B1524,Calc!$K$77:$L$87,2,FALSE)</f>
        <v>#N/A</v>
      </c>
      <c r="E1524" s="523" t="e">
        <f ca="1">VLOOKUP(B1524,Calc!$K$88:$L$98,2,FALSE)</f>
        <v>#N/A</v>
      </c>
      <c r="F1524" s="523" t="e">
        <f ca="1">IF(Errorhandling!$C$42,INDEX(Calc!$J$99:$J$109,MATCH(Display!B1524,Calc!$K$99:$K$109,0),1),#N/A)</f>
        <v>#N/A</v>
      </c>
    </row>
    <row r="1525" spans="2:6" x14ac:dyDescent="0.2">
      <c r="B1525" s="6">
        <f t="shared" si="27"/>
        <v>1522</v>
      </c>
      <c r="C1525" s="81" t="e">
        <f ca="1">VLOOKUP(B1525,Calc!$K$66:$L$76,2,FALSE)</f>
        <v>#N/A</v>
      </c>
      <c r="D1525" s="81" t="e">
        <f ca="1">VLOOKUP(B1525,Calc!$K$77:$L$87,2,FALSE)</f>
        <v>#N/A</v>
      </c>
      <c r="E1525" s="523" t="e">
        <f ca="1">VLOOKUP(B1525,Calc!$K$88:$L$98,2,FALSE)</f>
        <v>#N/A</v>
      </c>
      <c r="F1525" s="523" t="e">
        <f ca="1">IF(Errorhandling!$C$42,INDEX(Calc!$J$99:$J$109,MATCH(Display!B1525,Calc!$K$99:$K$109,0),1),#N/A)</f>
        <v>#N/A</v>
      </c>
    </row>
    <row r="1526" spans="2:6" x14ac:dyDescent="0.2">
      <c r="B1526" s="6">
        <f t="shared" si="27"/>
        <v>1523</v>
      </c>
      <c r="C1526" s="81" t="e">
        <f ca="1">VLOOKUP(B1526,Calc!$K$66:$L$76,2,FALSE)</f>
        <v>#N/A</v>
      </c>
      <c r="D1526" s="81" t="e">
        <f ca="1">VLOOKUP(B1526,Calc!$K$77:$L$87,2,FALSE)</f>
        <v>#N/A</v>
      </c>
      <c r="E1526" s="523" t="e">
        <f ca="1">VLOOKUP(B1526,Calc!$K$88:$L$98,2,FALSE)</f>
        <v>#N/A</v>
      </c>
      <c r="F1526" s="523" t="e">
        <f ca="1">IF(Errorhandling!$C$42,INDEX(Calc!$J$99:$J$109,MATCH(Display!B1526,Calc!$K$99:$K$109,0),1),#N/A)</f>
        <v>#N/A</v>
      </c>
    </row>
    <row r="1527" spans="2:6" x14ac:dyDescent="0.2">
      <c r="B1527" s="6">
        <f t="shared" si="27"/>
        <v>1524</v>
      </c>
      <c r="C1527" s="81" t="e">
        <f ca="1">VLOOKUP(B1527,Calc!$K$66:$L$76,2,FALSE)</f>
        <v>#N/A</v>
      </c>
      <c r="D1527" s="81" t="e">
        <f ca="1">VLOOKUP(B1527,Calc!$K$77:$L$87,2,FALSE)</f>
        <v>#N/A</v>
      </c>
      <c r="E1527" s="523" t="e">
        <f ca="1">VLOOKUP(B1527,Calc!$K$88:$L$98,2,FALSE)</f>
        <v>#N/A</v>
      </c>
      <c r="F1527" s="523" t="e">
        <f ca="1">IF(Errorhandling!$C$42,INDEX(Calc!$J$99:$J$109,MATCH(Display!B1527,Calc!$K$99:$K$109,0),1),#N/A)</f>
        <v>#N/A</v>
      </c>
    </row>
    <row r="1528" spans="2:6" x14ac:dyDescent="0.2">
      <c r="B1528" s="6">
        <f t="shared" si="27"/>
        <v>1525</v>
      </c>
      <c r="C1528" s="81" t="e">
        <f ca="1">VLOOKUP(B1528,Calc!$K$66:$L$76,2,FALSE)</f>
        <v>#N/A</v>
      </c>
      <c r="D1528" s="81" t="e">
        <f ca="1">VLOOKUP(B1528,Calc!$K$77:$L$87,2,FALSE)</f>
        <v>#N/A</v>
      </c>
      <c r="E1528" s="523" t="e">
        <f ca="1">VLOOKUP(B1528,Calc!$K$88:$L$98,2,FALSE)</f>
        <v>#N/A</v>
      </c>
      <c r="F1528" s="523" t="e">
        <f ca="1">IF(Errorhandling!$C$42,INDEX(Calc!$J$99:$J$109,MATCH(Display!B1528,Calc!$K$99:$K$109,0),1),#N/A)</f>
        <v>#N/A</v>
      </c>
    </row>
    <row r="1529" spans="2:6" x14ac:dyDescent="0.2">
      <c r="B1529" s="6">
        <f t="shared" si="27"/>
        <v>1526</v>
      </c>
      <c r="C1529" s="81" t="e">
        <f ca="1">VLOOKUP(B1529,Calc!$K$66:$L$76,2,FALSE)</f>
        <v>#N/A</v>
      </c>
      <c r="D1529" s="81" t="e">
        <f ca="1">VLOOKUP(B1529,Calc!$K$77:$L$87,2,FALSE)</f>
        <v>#N/A</v>
      </c>
      <c r="E1529" s="523" t="e">
        <f ca="1">VLOOKUP(B1529,Calc!$K$88:$L$98,2,FALSE)</f>
        <v>#N/A</v>
      </c>
      <c r="F1529" s="523" t="e">
        <f ca="1">IF(Errorhandling!$C$42,INDEX(Calc!$J$99:$J$109,MATCH(Display!B1529,Calc!$K$99:$K$109,0),1),#N/A)</f>
        <v>#N/A</v>
      </c>
    </row>
    <row r="1530" spans="2:6" x14ac:dyDescent="0.2">
      <c r="B1530" s="6">
        <f t="shared" si="27"/>
        <v>1527</v>
      </c>
      <c r="C1530" s="81" t="e">
        <f ca="1">VLOOKUP(B1530,Calc!$K$66:$L$76,2,FALSE)</f>
        <v>#N/A</v>
      </c>
      <c r="D1530" s="81" t="e">
        <f ca="1">VLOOKUP(B1530,Calc!$K$77:$L$87,2,FALSE)</f>
        <v>#N/A</v>
      </c>
      <c r="E1530" s="523" t="e">
        <f ca="1">VLOOKUP(B1530,Calc!$K$88:$L$98,2,FALSE)</f>
        <v>#N/A</v>
      </c>
      <c r="F1530" s="523" t="e">
        <f ca="1">IF(Errorhandling!$C$42,INDEX(Calc!$J$99:$J$109,MATCH(Display!B1530,Calc!$K$99:$K$109,0),1),#N/A)</f>
        <v>#N/A</v>
      </c>
    </row>
    <row r="1531" spans="2:6" x14ac:dyDescent="0.2">
      <c r="B1531" s="6">
        <f t="shared" si="27"/>
        <v>1528</v>
      </c>
      <c r="C1531" s="81" t="e">
        <f ca="1">VLOOKUP(B1531,Calc!$K$66:$L$76,2,FALSE)</f>
        <v>#N/A</v>
      </c>
      <c r="D1531" s="81" t="e">
        <f ca="1">VLOOKUP(B1531,Calc!$K$77:$L$87,2,FALSE)</f>
        <v>#N/A</v>
      </c>
      <c r="E1531" s="523" t="e">
        <f ca="1">VLOOKUP(B1531,Calc!$K$88:$L$98,2,FALSE)</f>
        <v>#N/A</v>
      </c>
      <c r="F1531" s="523" t="e">
        <f ca="1">IF(Errorhandling!$C$42,INDEX(Calc!$J$99:$J$109,MATCH(Display!B1531,Calc!$K$99:$K$109,0),1),#N/A)</f>
        <v>#N/A</v>
      </c>
    </row>
    <row r="1532" spans="2:6" x14ac:dyDescent="0.2">
      <c r="B1532" s="6">
        <f t="shared" si="27"/>
        <v>1529</v>
      </c>
      <c r="C1532" s="81" t="e">
        <f ca="1">VLOOKUP(B1532,Calc!$K$66:$L$76,2,FALSE)</f>
        <v>#N/A</v>
      </c>
      <c r="D1532" s="81" t="e">
        <f ca="1">VLOOKUP(B1532,Calc!$K$77:$L$87,2,FALSE)</f>
        <v>#N/A</v>
      </c>
      <c r="E1532" s="523" t="e">
        <f ca="1">VLOOKUP(B1532,Calc!$K$88:$L$98,2,FALSE)</f>
        <v>#N/A</v>
      </c>
      <c r="F1532" s="523" t="e">
        <f ca="1">IF(Errorhandling!$C$42,INDEX(Calc!$J$99:$J$109,MATCH(Display!B1532,Calc!$K$99:$K$109,0),1),#N/A)</f>
        <v>#N/A</v>
      </c>
    </row>
    <row r="1533" spans="2:6" x14ac:dyDescent="0.2">
      <c r="B1533" s="6">
        <f t="shared" si="27"/>
        <v>1530</v>
      </c>
      <c r="C1533" s="81" t="e">
        <f ca="1">VLOOKUP(B1533,Calc!$K$66:$L$76,2,FALSE)</f>
        <v>#N/A</v>
      </c>
      <c r="D1533" s="81" t="e">
        <f ca="1">VLOOKUP(B1533,Calc!$K$77:$L$87,2,FALSE)</f>
        <v>#N/A</v>
      </c>
      <c r="E1533" s="523" t="e">
        <f ca="1">VLOOKUP(B1533,Calc!$K$88:$L$98,2,FALSE)</f>
        <v>#N/A</v>
      </c>
      <c r="F1533" s="523" t="e">
        <f ca="1">IF(Errorhandling!$C$42,INDEX(Calc!$J$99:$J$109,MATCH(Display!B1533,Calc!$K$99:$K$109,0),1),#N/A)</f>
        <v>#N/A</v>
      </c>
    </row>
    <row r="1534" spans="2:6" x14ac:dyDescent="0.2">
      <c r="B1534" s="6">
        <f t="shared" si="27"/>
        <v>1531</v>
      </c>
      <c r="C1534" s="81" t="e">
        <f ca="1">VLOOKUP(B1534,Calc!$K$66:$L$76,2,FALSE)</f>
        <v>#N/A</v>
      </c>
      <c r="D1534" s="81" t="e">
        <f ca="1">VLOOKUP(B1534,Calc!$K$77:$L$87,2,FALSE)</f>
        <v>#N/A</v>
      </c>
      <c r="E1534" s="523" t="e">
        <f ca="1">VLOOKUP(B1534,Calc!$K$88:$L$98,2,FALSE)</f>
        <v>#N/A</v>
      </c>
      <c r="F1534" s="523" t="e">
        <f ca="1">IF(Errorhandling!$C$42,INDEX(Calc!$J$99:$J$109,MATCH(Display!B1534,Calc!$K$99:$K$109,0),1),#N/A)</f>
        <v>#N/A</v>
      </c>
    </row>
    <row r="1535" spans="2:6" x14ac:dyDescent="0.2">
      <c r="B1535" s="6">
        <f t="shared" si="27"/>
        <v>1532</v>
      </c>
      <c r="C1535" s="81" t="e">
        <f ca="1">VLOOKUP(B1535,Calc!$K$66:$L$76,2,FALSE)</f>
        <v>#N/A</v>
      </c>
      <c r="D1535" s="81" t="e">
        <f ca="1">VLOOKUP(B1535,Calc!$K$77:$L$87,2,FALSE)</f>
        <v>#N/A</v>
      </c>
      <c r="E1535" s="523" t="e">
        <f ca="1">VLOOKUP(B1535,Calc!$K$88:$L$98,2,FALSE)</f>
        <v>#N/A</v>
      </c>
      <c r="F1535" s="523" t="e">
        <f ca="1">IF(Errorhandling!$C$42,INDEX(Calc!$J$99:$J$109,MATCH(Display!B1535,Calc!$K$99:$K$109,0),1),#N/A)</f>
        <v>#N/A</v>
      </c>
    </row>
    <row r="1536" spans="2:6" x14ac:dyDescent="0.2">
      <c r="B1536" s="6">
        <f t="shared" si="27"/>
        <v>1533</v>
      </c>
      <c r="C1536" s="81" t="e">
        <f ca="1">VLOOKUP(B1536,Calc!$K$66:$L$76,2,FALSE)</f>
        <v>#N/A</v>
      </c>
      <c r="D1536" s="81" t="e">
        <f ca="1">VLOOKUP(B1536,Calc!$K$77:$L$87,2,FALSE)</f>
        <v>#N/A</v>
      </c>
      <c r="E1536" s="523" t="e">
        <f ca="1">VLOOKUP(B1536,Calc!$K$88:$L$98,2,FALSE)</f>
        <v>#N/A</v>
      </c>
      <c r="F1536" s="523" t="e">
        <f ca="1">IF(Errorhandling!$C$42,INDEX(Calc!$J$99:$J$109,MATCH(Display!B1536,Calc!$K$99:$K$109,0),1),#N/A)</f>
        <v>#N/A</v>
      </c>
    </row>
    <row r="1537" spans="2:6" x14ac:dyDescent="0.2">
      <c r="B1537" s="6">
        <f t="shared" si="27"/>
        <v>1534</v>
      </c>
      <c r="C1537" s="81" t="e">
        <f ca="1">VLOOKUP(B1537,Calc!$K$66:$L$76,2,FALSE)</f>
        <v>#N/A</v>
      </c>
      <c r="D1537" s="81" t="e">
        <f ca="1">VLOOKUP(B1537,Calc!$K$77:$L$87,2,FALSE)</f>
        <v>#N/A</v>
      </c>
      <c r="E1537" s="523" t="e">
        <f ca="1">VLOOKUP(B1537,Calc!$K$88:$L$98,2,FALSE)</f>
        <v>#N/A</v>
      </c>
      <c r="F1537" s="523" t="e">
        <f ca="1">IF(Errorhandling!$C$42,INDEX(Calc!$J$99:$J$109,MATCH(Display!B1537,Calc!$K$99:$K$109,0),1),#N/A)</f>
        <v>#N/A</v>
      </c>
    </row>
    <row r="1538" spans="2:6" x14ac:dyDescent="0.2">
      <c r="B1538" s="6">
        <f t="shared" si="27"/>
        <v>1535</v>
      </c>
      <c r="C1538" s="81" t="e">
        <f ca="1">VLOOKUP(B1538,Calc!$K$66:$L$76,2,FALSE)</f>
        <v>#N/A</v>
      </c>
      <c r="D1538" s="81" t="e">
        <f ca="1">VLOOKUP(B1538,Calc!$K$77:$L$87,2,FALSE)</f>
        <v>#N/A</v>
      </c>
      <c r="E1538" s="523" t="e">
        <f ca="1">VLOOKUP(B1538,Calc!$K$88:$L$98,2,FALSE)</f>
        <v>#N/A</v>
      </c>
      <c r="F1538" s="523" t="e">
        <f ca="1">IF(Errorhandling!$C$42,INDEX(Calc!$J$99:$J$109,MATCH(Display!B1538,Calc!$K$99:$K$109,0),1),#N/A)</f>
        <v>#N/A</v>
      </c>
    </row>
    <row r="1539" spans="2:6" x14ac:dyDescent="0.2">
      <c r="B1539" s="6">
        <f t="shared" si="27"/>
        <v>1536</v>
      </c>
      <c r="C1539" s="81" t="e">
        <f ca="1">VLOOKUP(B1539,Calc!$K$66:$L$76,2,FALSE)</f>
        <v>#N/A</v>
      </c>
      <c r="D1539" s="81" t="e">
        <f ca="1">VLOOKUP(B1539,Calc!$K$77:$L$87,2,FALSE)</f>
        <v>#N/A</v>
      </c>
      <c r="E1539" s="523" t="e">
        <f ca="1">VLOOKUP(B1539,Calc!$K$88:$L$98,2,FALSE)</f>
        <v>#N/A</v>
      </c>
      <c r="F1539" s="523" t="e">
        <f ca="1">IF(Errorhandling!$C$42,INDEX(Calc!$J$99:$J$109,MATCH(Display!B1539,Calc!$K$99:$K$109,0),1),#N/A)</f>
        <v>#N/A</v>
      </c>
    </row>
    <row r="1540" spans="2:6" x14ac:dyDescent="0.2">
      <c r="B1540" s="6">
        <f t="shared" si="27"/>
        <v>1537</v>
      </c>
      <c r="C1540" s="81" t="e">
        <f ca="1">VLOOKUP(B1540,Calc!$K$66:$L$76,2,FALSE)</f>
        <v>#N/A</v>
      </c>
      <c r="D1540" s="81" t="e">
        <f ca="1">VLOOKUP(B1540,Calc!$K$77:$L$87,2,FALSE)</f>
        <v>#N/A</v>
      </c>
      <c r="E1540" s="523" t="e">
        <f ca="1">VLOOKUP(B1540,Calc!$K$88:$L$98,2,FALSE)</f>
        <v>#N/A</v>
      </c>
      <c r="F1540" s="523" t="e">
        <f ca="1">IF(Errorhandling!$C$42,INDEX(Calc!$J$99:$J$109,MATCH(Display!B1540,Calc!$K$99:$K$109,0),1),#N/A)</f>
        <v>#N/A</v>
      </c>
    </row>
    <row r="1541" spans="2:6" x14ac:dyDescent="0.2">
      <c r="B1541" s="6">
        <f t="shared" si="27"/>
        <v>1538</v>
      </c>
      <c r="C1541" s="81" t="e">
        <f ca="1">VLOOKUP(B1541,Calc!$K$66:$L$76,2,FALSE)</f>
        <v>#N/A</v>
      </c>
      <c r="D1541" s="81" t="e">
        <f ca="1">VLOOKUP(B1541,Calc!$K$77:$L$87,2,FALSE)</f>
        <v>#N/A</v>
      </c>
      <c r="E1541" s="523" t="e">
        <f ca="1">VLOOKUP(B1541,Calc!$K$88:$L$98,2,FALSE)</f>
        <v>#N/A</v>
      </c>
      <c r="F1541" s="523" t="e">
        <f ca="1">IF(Errorhandling!$C$42,INDEX(Calc!$J$99:$J$109,MATCH(Display!B1541,Calc!$K$99:$K$109,0),1),#N/A)</f>
        <v>#N/A</v>
      </c>
    </row>
    <row r="1542" spans="2:6" x14ac:dyDescent="0.2">
      <c r="B1542" s="6">
        <f t="shared" si="27"/>
        <v>1539</v>
      </c>
      <c r="C1542" s="81" t="e">
        <f ca="1">VLOOKUP(B1542,Calc!$K$66:$L$76,2,FALSE)</f>
        <v>#N/A</v>
      </c>
      <c r="D1542" s="81" t="e">
        <f ca="1">VLOOKUP(B1542,Calc!$K$77:$L$87,2,FALSE)</f>
        <v>#N/A</v>
      </c>
      <c r="E1542" s="523" t="e">
        <f ca="1">VLOOKUP(B1542,Calc!$K$88:$L$98,2,FALSE)</f>
        <v>#N/A</v>
      </c>
      <c r="F1542" s="523" t="e">
        <f ca="1">IF(Errorhandling!$C$42,INDEX(Calc!$J$99:$J$109,MATCH(Display!B1542,Calc!$K$99:$K$109,0),1),#N/A)</f>
        <v>#N/A</v>
      </c>
    </row>
    <row r="1543" spans="2:6" x14ac:dyDescent="0.2">
      <c r="B1543" s="6">
        <f t="shared" ref="B1543:B1606" si="28">1+B1542</f>
        <v>1540</v>
      </c>
      <c r="C1543" s="81" t="e">
        <f ca="1">VLOOKUP(B1543,Calc!$K$66:$L$76,2,FALSE)</f>
        <v>#N/A</v>
      </c>
      <c r="D1543" s="81" t="e">
        <f ca="1">VLOOKUP(B1543,Calc!$K$77:$L$87,2,FALSE)</f>
        <v>#N/A</v>
      </c>
      <c r="E1543" s="523" t="e">
        <f ca="1">VLOOKUP(B1543,Calc!$K$88:$L$98,2,FALSE)</f>
        <v>#N/A</v>
      </c>
      <c r="F1543" s="523" t="e">
        <f ca="1">IF(Errorhandling!$C$42,INDEX(Calc!$J$99:$J$109,MATCH(Display!B1543,Calc!$K$99:$K$109,0),1),#N/A)</f>
        <v>#N/A</v>
      </c>
    </row>
    <row r="1544" spans="2:6" x14ac:dyDescent="0.2">
      <c r="B1544" s="6">
        <f t="shared" si="28"/>
        <v>1541</v>
      </c>
      <c r="C1544" s="81" t="e">
        <f ca="1">VLOOKUP(B1544,Calc!$K$66:$L$76,2,FALSE)</f>
        <v>#N/A</v>
      </c>
      <c r="D1544" s="81" t="e">
        <f ca="1">VLOOKUP(B1544,Calc!$K$77:$L$87,2,FALSE)</f>
        <v>#N/A</v>
      </c>
      <c r="E1544" s="523" t="e">
        <f ca="1">VLOOKUP(B1544,Calc!$K$88:$L$98,2,FALSE)</f>
        <v>#N/A</v>
      </c>
      <c r="F1544" s="523" t="e">
        <f ca="1">IF(Errorhandling!$C$42,INDEX(Calc!$J$99:$J$109,MATCH(Display!B1544,Calc!$K$99:$K$109,0),1),#N/A)</f>
        <v>#N/A</v>
      </c>
    </row>
    <row r="1545" spans="2:6" x14ac:dyDescent="0.2">
      <c r="B1545" s="6">
        <f t="shared" si="28"/>
        <v>1542</v>
      </c>
      <c r="C1545" s="81" t="e">
        <f ca="1">VLOOKUP(B1545,Calc!$K$66:$L$76,2,FALSE)</f>
        <v>#N/A</v>
      </c>
      <c r="D1545" s="81" t="e">
        <f ca="1">VLOOKUP(B1545,Calc!$K$77:$L$87,2,FALSE)</f>
        <v>#N/A</v>
      </c>
      <c r="E1545" s="523" t="e">
        <f ca="1">VLOOKUP(B1545,Calc!$K$88:$L$98,2,FALSE)</f>
        <v>#N/A</v>
      </c>
      <c r="F1545" s="523" t="e">
        <f ca="1">IF(Errorhandling!$C$42,INDEX(Calc!$J$99:$J$109,MATCH(Display!B1545,Calc!$K$99:$K$109,0),1),#N/A)</f>
        <v>#N/A</v>
      </c>
    </row>
    <row r="1546" spans="2:6" x14ac:dyDescent="0.2">
      <c r="B1546" s="6">
        <f t="shared" si="28"/>
        <v>1543</v>
      </c>
      <c r="C1546" s="81" t="e">
        <f ca="1">VLOOKUP(B1546,Calc!$K$66:$L$76,2,FALSE)</f>
        <v>#N/A</v>
      </c>
      <c r="D1546" s="81" t="e">
        <f ca="1">VLOOKUP(B1546,Calc!$K$77:$L$87,2,FALSE)</f>
        <v>#N/A</v>
      </c>
      <c r="E1546" s="523" t="e">
        <f ca="1">VLOOKUP(B1546,Calc!$K$88:$L$98,2,FALSE)</f>
        <v>#N/A</v>
      </c>
      <c r="F1546" s="523" t="e">
        <f ca="1">IF(Errorhandling!$C$42,INDEX(Calc!$J$99:$J$109,MATCH(Display!B1546,Calc!$K$99:$K$109,0),1),#N/A)</f>
        <v>#N/A</v>
      </c>
    </row>
    <row r="1547" spans="2:6" x14ac:dyDescent="0.2">
      <c r="B1547" s="6">
        <f t="shared" si="28"/>
        <v>1544</v>
      </c>
      <c r="C1547" s="81" t="e">
        <f ca="1">VLOOKUP(B1547,Calc!$K$66:$L$76,2,FALSE)</f>
        <v>#N/A</v>
      </c>
      <c r="D1547" s="81" t="e">
        <f ca="1">VLOOKUP(B1547,Calc!$K$77:$L$87,2,FALSE)</f>
        <v>#N/A</v>
      </c>
      <c r="E1547" s="523" t="e">
        <f ca="1">VLOOKUP(B1547,Calc!$K$88:$L$98,2,FALSE)</f>
        <v>#N/A</v>
      </c>
      <c r="F1547" s="523" t="e">
        <f ca="1">IF(Errorhandling!$C$42,INDEX(Calc!$J$99:$J$109,MATCH(Display!B1547,Calc!$K$99:$K$109,0),1),#N/A)</f>
        <v>#N/A</v>
      </c>
    </row>
    <row r="1548" spans="2:6" x14ac:dyDescent="0.2">
      <c r="B1548" s="6">
        <f t="shared" si="28"/>
        <v>1545</v>
      </c>
      <c r="C1548" s="81" t="e">
        <f ca="1">VLOOKUP(B1548,Calc!$K$66:$L$76,2,FALSE)</f>
        <v>#N/A</v>
      </c>
      <c r="D1548" s="81" t="e">
        <f ca="1">VLOOKUP(B1548,Calc!$K$77:$L$87,2,FALSE)</f>
        <v>#N/A</v>
      </c>
      <c r="E1548" s="523" t="e">
        <f ca="1">VLOOKUP(B1548,Calc!$K$88:$L$98,2,FALSE)</f>
        <v>#N/A</v>
      </c>
      <c r="F1548" s="523" t="e">
        <f ca="1">IF(Errorhandling!$C$42,INDEX(Calc!$J$99:$J$109,MATCH(Display!B1548,Calc!$K$99:$K$109,0),1),#N/A)</f>
        <v>#N/A</v>
      </c>
    </row>
    <row r="1549" spans="2:6" x14ac:dyDescent="0.2">
      <c r="B1549" s="6">
        <f t="shared" si="28"/>
        <v>1546</v>
      </c>
      <c r="C1549" s="81" t="e">
        <f ca="1">VLOOKUP(B1549,Calc!$K$66:$L$76,2,FALSE)</f>
        <v>#N/A</v>
      </c>
      <c r="D1549" s="81" t="e">
        <f ca="1">VLOOKUP(B1549,Calc!$K$77:$L$87,2,FALSE)</f>
        <v>#N/A</v>
      </c>
      <c r="E1549" s="523" t="e">
        <f ca="1">VLOOKUP(B1549,Calc!$K$88:$L$98,2,FALSE)</f>
        <v>#N/A</v>
      </c>
      <c r="F1549" s="523" t="e">
        <f ca="1">IF(Errorhandling!$C$42,INDEX(Calc!$J$99:$J$109,MATCH(Display!B1549,Calc!$K$99:$K$109,0),1),#N/A)</f>
        <v>#N/A</v>
      </c>
    </row>
    <row r="1550" spans="2:6" x14ac:dyDescent="0.2">
      <c r="B1550" s="6">
        <f t="shared" si="28"/>
        <v>1547</v>
      </c>
      <c r="C1550" s="81" t="e">
        <f ca="1">VLOOKUP(B1550,Calc!$K$66:$L$76,2,FALSE)</f>
        <v>#N/A</v>
      </c>
      <c r="D1550" s="81" t="e">
        <f ca="1">VLOOKUP(B1550,Calc!$K$77:$L$87,2,FALSE)</f>
        <v>#N/A</v>
      </c>
      <c r="E1550" s="523" t="e">
        <f ca="1">VLOOKUP(B1550,Calc!$K$88:$L$98,2,FALSE)</f>
        <v>#N/A</v>
      </c>
      <c r="F1550" s="523" t="e">
        <f ca="1">IF(Errorhandling!$C$42,INDEX(Calc!$J$99:$J$109,MATCH(Display!B1550,Calc!$K$99:$K$109,0),1),#N/A)</f>
        <v>#N/A</v>
      </c>
    </row>
    <row r="1551" spans="2:6" x14ac:dyDescent="0.2">
      <c r="B1551" s="6">
        <f t="shared" si="28"/>
        <v>1548</v>
      </c>
      <c r="C1551" s="81" t="e">
        <f ca="1">VLOOKUP(B1551,Calc!$K$66:$L$76,2,FALSE)</f>
        <v>#N/A</v>
      </c>
      <c r="D1551" s="81" t="e">
        <f ca="1">VLOOKUP(B1551,Calc!$K$77:$L$87,2,FALSE)</f>
        <v>#N/A</v>
      </c>
      <c r="E1551" s="523" t="e">
        <f ca="1">VLOOKUP(B1551,Calc!$K$88:$L$98,2,FALSE)</f>
        <v>#N/A</v>
      </c>
      <c r="F1551" s="523" t="e">
        <f ca="1">IF(Errorhandling!$C$42,INDEX(Calc!$J$99:$J$109,MATCH(Display!B1551,Calc!$K$99:$K$109,0),1),#N/A)</f>
        <v>#N/A</v>
      </c>
    </row>
    <row r="1552" spans="2:6" x14ac:dyDescent="0.2">
      <c r="B1552" s="6">
        <f t="shared" si="28"/>
        <v>1549</v>
      </c>
      <c r="C1552" s="81" t="e">
        <f ca="1">VLOOKUP(B1552,Calc!$K$66:$L$76,2,FALSE)</f>
        <v>#N/A</v>
      </c>
      <c r="D1552" s="81" t="e">
        <f ca="1">VLOOKUP(B1552,Calc!$K$77:$L$87,2,FALSE)</f>
        <v>#N/A</v>
      </c>
      <c r="E1552" s="523" t="e">
        <f ca="1">VLOOKUP(B1552,Calc!$K$88:$L$98,2,FALSE)</f>
        <v>#N/A</v>
      </c>
      <c r="F1552" s="523" t="e">
        <f ca="1">IF(Errorhandling!$C$42,INDEX(Calc!$J$99:$J$109,MATCH(Display!B1552,Calc!$K$99:$K$109,0),1),#N/A)</f>
        <v>#N/A</v>
      </c>
    </row>
    <row r="1553" spans="2:6" x14ac:dyDescent="0.2">
      <c r="B1553" s="6">
        <f t="shared" si="28"/>
        <v>1550</v>
      </c>
      <c r="C1553" s="81" t="e">
        <f ca="1">VLOOKUP(B1553,Calc!$K$66:$L$76,2,FALSE)</f>
        <v>#N/A</v>
      </c>
      <c r="D1553" s="81" t="e">
        <f ca="1">VLOOKUP(B1553,Calc!$K$77:$L$87,2,FALSE)</f>
        <v>#N/A</v>
      </c>
      <c r="E1553" s="523" t="e">
        <f ca="1">VLOOKUP(B1553,Calc!$K$88:$L$98,2,FALSE)</f>
        <v>#N/A</v>
      </c>
      <c r="F1553" s="523" t="e">
        <f ca="1">IF(Errorhandling!$C$42,INDEX(Calc!$J$99:$J$109,MATCH(Display!B1553,Calc!$K$99:$K$109,0),1),#N/A)</f>
        <v>#N/A</v>
      </c>
    </row>
    <row r="1554" spans="2:6" x14ac:dyDescent="0.2">
      <c r="B1554" s="6">
        <f t="shared" si="28"/>
        <v>1551</v>
      </c>
      <c r="C1554" s="81" t="e">
        <f ca="1">VLOOKUP(B1554,Calc!$K$66:$L$76,2,FALSE)</f>
        <v>#N/A</v>
      </c>
      <c r="D1554" s="81" t="e">
        <f ca="1">VLOOKUP(B1554,Calc!$K$77:$L$87,2,FALSE)</f>
        <v>#N/A</v>
      </c>
      <c r="E1554" s="523" t="e">
        <f ca="1">VLOOKUP(B1554,Calc!$K$88:$L$98,2,FALSE)</f>
        <v>#N/A</v>
      </c>
      <c r="F1554" s="523" t="e">
        <f ca="1">IF(Errorhandling!$C$42,INDEX(Calc!$J$99:$J$109,MATCH(Display!B1554,Calc!$K$99:$K$109,0),1),#N/A)</f>
        <v>#N/A</v>
      </c>
    </row>
    <row r="1555" spans="2:6" x14ac:dyDescent="0.2">
      <c r="B1555" s="6">
        <f t="shared" si="28"/>
        <v>1552</v>
      </c>
      <c r="C1555" s="81" t="e">
        <f ca="1">VLOOKUP(B1555,Calc!$K$66:$L$76,2,FALSE)</f>
        <v>#N/A</v>
      </c>
      <c r="D1555" s="81" t="e">
        <f ca="1">VLOOKUP(B1555,Calc!$K$77:$L$87,2,FALSE)</f>
        <v>#N/A</v>
      </c>
      <c r="E1555" s="523" t="e">
        <f ca="1">VLOOKUP(B1555,Calc!$K$88:$L$98,2,FALSE)</f>
        <v>#N/A</v>
      </c>
      <c r="F1555" s="523" t="e">
        <f ca="1">IF(Errorhandling!$C$42,INDEX(Calc!$J$99:$J$109,MATCH(Display!B1555,Calc!$K$99:$K$109,0),1),#N/A)</f>
        <v>#N/A</v>
      </c>
    </row>
    <row r="1556" spans="2:6" x14ac:dyDescent="0.2">
      <c r="B1556" s="6">
        <f t="shared" si="28"/>
        <v>1553</v>
      </c>
      <c r="C1556" s="81" t="e">
        <f ca="1">VLOOKUP(B1556,Calc!$K$66:$L$76,2,FALSE)</f>
        <v>#N/A</v>
      </c>
      <c r="D1556" s="81" t="e">
        <f ca="1">VLOOKUP(B1556,Calc!$K$77:$L$87,2,FALSE)</f>
        <v>#N/A</v>
      </c>
      <c r="E1556" s="523" t="e">
        <f ca="1">VLOOKUP(B1556,Calc!$K$88:$L$98,2,FALSE)</f>
        <v>#N/A</v>
      </c>
      <c r="F1556" s="523" t="e">
        <f ca="1">IF(Errorhandling!$C$42,INDEX(Calc!$J$99:$J$109,MATCH(Display!B1556,Calc!$K$99:$K$109,0),1),#N/A)</f>
        <v>#N/A</v>
      </c>
    </row>
    <row r="1557" spans="2:6" x14ac:dyDescent="0.2">
      <c r="B1557" s="6">
        <f t="shared" si="28"/>
        <v>1554</v>
      </c>
      <c r="C1557" s="81" t="e">
        <f ca="1">VLOOKUP(B1557,Calc!$K$66:$L$76,2,FALSE)</f>
        <v>#N/A</v>
      </c>
      <c r="D1557" s="81" t="e">
        <f ca="1">VLOOKUP(B1557,Calc!$K$77:$L$87,2,FALSE)</f>
        <v>#N/A</v>
      </c>
      <c r="E1557" s="523" t="e">
        <f ca="1">VLOOKUP(B1557,Calc!$K$88:$L$98,2,FALSE)</f>
        <v>#N/A</v>
      </c>
      <c r="F1557" s="523" t="e">
        <f ca="1">IF(Errorhandling!$C$42,INDEX(Calc!$J$99:$J$109,MATCH(Display!B1557,Calc!$K$99:$K$109,0),1),#N/A)</f>
        <v>#N/A</v>
      </c>
    </row>
    <row r="1558" spans="2:6" x14ac:dyDescent="0.2">
      <c r="B1558" s="6">
        <f t="shared" si="28"/>
        <v>1555</v>
      </c>
      <c r="C1558" s="81" t="e">
        <f ca="1">VLOOKUP(B1558,Calc!$K$66:$L$76,2,FALSE)</f>
        <v>#N/A</v>
      </c>
      <c r="D1558" s="81" t="e">
        <f ca="1">VLOOKUP(B1558,Calc!$K$77:$L$87,2,FALSE)</f>
        <v>#N/A</v>
      </c>
      <c r="E1558" s="523" t="e">
        <f ca="1">VLOOKUP(B1558,Calc!$K$88:$L$98,2,FALSE)</f>
        <v>#N/A</v>
      </c>
      <c r="F1558" s="523" t="e">
        <f ca="1">IF(Errorhandling!$C$42,INDEX(Calc!$J$99:$J$109,MATCH(Display!B1558,Calc!$K$99:$K$109,0),1),#N/A)</f>
        <v>#N/A</v>
      </c>
    </row>
    <row r="1559" spans="2:6" x14ac:dyDescent="0.2">
      <c r="B1559" s="6">
        <f t="shared" si="28"/>
        <v>1556</v>
      </c>
      <c r="C1559" s="81" t="e">
        <f ca="1">VLOOKUP(B1559,Calc!$K$66:$L$76,2,FALSE)</f>
        <v>#N/A</v>
      </c>
      <c r="D1559" s="81" t="e">
        <f ca="1">VLOOKUP(B1559,Calc!$K$77:$L$87,2,FALSE)</f>
        <v>#N/A</v>
      </c>
      <c r="E1559" s="523" t="e">
        <f ca="1">VLOOKUP(B1559,Calc!$K$88:$L$98,2,FALSE)</f>
        <v>#N/A</v>
      </c>
      <c r="F1559" s="523" t="e">
        <f ca="1">IF(Errorhandling!$C$42,INDEX(Calc!$J$99:$J$109,MATCH(Display!B1559,Calc!$K$99:$K$109,0),1),#N/A)</f>
        <v>#N/A</v>
      </c>
    </row>
    <row r="1560" spans="2:6" x14ac:dyDescent="0.2">
      <c r="B1560" s="6">
        <f t="shared" si="28"/>
        <v>1557</v>
      </c>
      <c r="C1560" s="81" t="e">
        <f ca="1">VLOOKUP(B1560,Calc!$K$66:$L$76,2,FALSE)</f>
        <v>#N/A</v>
      </c>
      <c r="D1560" s="81" t="e">
        <f ca="1">VLOOKUP(B1560,Calc!$K$77:$L$87,2,FALSE)</f>
        <v>#N/A</v>
      </c>
      <c r="E1560" s="523" t="e">
        <f ca="1">VLOOKUP(B1560,Calc!$K$88:$L$98,2,FALSE)</f>
        <v>#N/A</v>
      </c>
      <c r="F1560" s="523" t="e">
        <f ca="1">IF(Errorhandling!$C$42,INDEX(Calc!$J$99:$J$109,MATCH(Display!B1560,Calc!$K$99:$K$109,0),1),#N/A)</f>
        <v>#N/A</v>
      </c>
    </row>
    <row r="1561" spans="2:6" x14ac:dyDescent="0.2">
      <c r="B1561" s="6">
        <f t="shared" si="28"/>
        <v>1558</v>
      </c>
      <c r="C1561" s="81" t="e">
        <f ca="1">VLOOKUP(B1561,Calc!$K$66:$L$76,2,FALSE)</f>
        <v>#N/A</v>
      </c>
      <c r="D1561" s="81" t="e">
        <f ca="1">VLOOKUP(B1561,Calc!$K$77:$L$87,2,FALSE)</f>
        <v>#N/A</v>
      </c>
      <c r="E1561" s="523" t="e">
        <f ca="1">VLOOKUP(B1561,Calc!$K$88:$L$98,2,FALSE)</f>
        <v>#N/A</v>
      </c>
      <c r="F1561" s="523" t="e">
        <f ca="1">IF(Errorhandling!$C$42,INDEX(Calc!$J$99:$J$109,MATCH(Display!B1561,Calc!$K$99:$K$109,0),1),#N/A)</f>
        <v>#N/A</v>
      </c>
    </row>
    <row r="1562" spans="2:6" x14ac:dyDescent="0.2">
      <c r="B1562" s="6">
        <f t="shared" si="28"/>
        <v>1559</v>
      </c>
      <c r="C1562" s="81" t="e">
        <f ca="1">VLOOKUP(B1562,Calc!$K$66:$L$76,2,FALSE)</f>
        <v>#N/A</v>
      </c>
      <c r="D1562" s="81" t="e">
        <f ca="1">VLOOKUP(B1562,Calc!$K$77:$L$87,2,FALSE)</f>
        <v>#N/A</v>
      </c>
      <c r="E1562" s="523" t="e">
        <f ca="1">VLOOKUP(B1562,Calc!$K$88:$L$98,2,FALSE)</f>
        <v>#N/A</v>
      </c>
      <c r="F1562" s="523" t="e">
        <f ca="1">IF(Errorhandling!$C$42,INDEX(Calc!$J$99:$J$109,MATCH(Display!B1562,Calc!$K$99:$K$109,0),1),#N/A)</f>
        <v>#N/A</v>
      </c>
    </row>
    <row r="1563" spans="2:6" x14ac:dyDescent="0.2">
      <c r="B1563" s="6">
        <f t="shared" si="28"/>
        <v>1560</v>
      </c>
      <c r="C1563" s="81" t="e">
        <f ca="1">VLOOKUP(B1563,Calc!$K$66:$L$76,2,FALSE)</f>
        <v>#N/A</v>
      </c>
      <c r="D1563" s="81" t="e">
        <f ca="1">VLOOKUP(B1563,Calc!$K$77:$L$87,2,FALSE)</f>
        <v>#N/A</v>
      </c>
      <c r="E1563" s="523" t="e">
        <f ca="1">VLOOKUP(B1563,Calc!$K$88:$L$98,2,FALSE)</f>
        <v>#N/A</v>
      </c>
      <c r="F1563" s="523" t="e">
        <f ca="1">IF(Errorhandling!$C$42,INDEX(Calc!$J$99:$J$109,MATCH(Display!B1563,Calc!$K$99:$K$109,0),1),#N/A)</f>
        <v>#N/A</v>
      </c>
    </row>
    <row r="1564" spans="2:6" x14ac:dyDescent="0.2">
      <c r="B1564" s="6">
        <f t="shared" si="28"/>
        <v>1561</v>
      </c>
      <c r="C1564" s="81" t="e">
        <f ca="1">VLOOKUP(B1564,Calc!$K$66:$L$76,2,FALSE)</f>
        <v>#N/A</v>
      </c>
      <c r="D1564" s="81" t="e">
        <f ca="1">VLOOKUP(B1564,Calc!$K$77:$L$87,2,FALSE)</f>
        <v>#N/A</v>
      </c>
      <c r="E1564" s="523" t="e">
        <f ca="1">VLOOKUP(B1564,Calc!$K$88:$L$98,2,FALSE)</f>
        <v>#N/A</v>
      </c>
      <c r="F1564" s="523" t="e">
        <f ca="1">IF(Errorhandling!$C$42,INDEX(Calc!$J$99:$J$109,MATCH(Display!B1564,Calc!$K$99:$K$109,0),1),#N/A)</f>
        <v>#N/A</v>
      </c>
    </row>
    <row r="1565" spans="2:6" x14ac:dyDescent="0.2">
      <c r="B1565" s="6">
        <f t="shared" si="28"/>
        <v>1562</v>
      </c>
      <c r="C1565" s="81" t="e">
        <f ca="1">VLOOKUP(B1565,Calc!$K$66:$L$76,2,FALSE)</f>
        <v>#N/A</v>
      </c>
      <c r="D1565" s="81" t="e">
        <f ca="1">VLOOKUP(B1565,Calc!$K$77:$L$87,2,FALSE)</f>
        <v>#N/A</v>
      </c>
      <c r="E1565" s="523" t="e">
        <f ca="1">VLOOKUP(B1565,Calc!$K$88:$L$98,2,FALSE)</f>
        <v>#N/A</v>
      </c>
      <c r="F1565" s="523" t="e">
        <f ca="1">IF(Errorhandling!$C$42,INDEX(Calc!$J$99:$J$109,MATCH(Display!B1565,Calc!$K$99:$K$109,0),1),#N/A)</f>
        <v>#N/A</v>
      </c>
    </row>
    <row r="1566" spans="2:6" x14ac:dyDescent="0.2">
      <c r="B1566" s="6">
        <f t="shared" si="28"/>
        <v>1563</v>
      </c>
      <c r="C1566" s="81" t="e">
        <f ca="1">VLOOKUP(B1566,Calc!$K$66:$L$76,2,FALSE)</f>
        <v>#N/A</v>
      </c>
      <c r="D1566" s="81" t="e">
        <f ca="1">VLOOKUP(B1566,Calc!$K$77:$L$87,2,FALSE)</f>
        <v>#N/A</v>
      </c>
      <c r="E1566" s="523" t="e">
        <f ca="1">VLOOKUP(B1566,Calc!$K$88:$L$98,2,FALSE)</f>
        <v>#N/A</v>
      </c>
      <c r="F1566" s="523" t="e">
        <f ca="1">IF(Errorhandling!$C$42,INDEX(Calc!$J$99:$J$109,MATCH(Display!B1566,Calc!$K$99:$K$109,0),1),#N/A)</f>
        <v>#N/A</v>
      </c>
    </row>
    <row r="1567" spans="2:6" x14ac:dyDescent="0.2">
      <c r="B1567" s="6">
        <f t="shared" si="28"/>
        <v>1564</v>
      </c>
      <c r="C1567" s="81" t="e">
        <f ca="1">VLOOKUP(B1567,Calc!$K$66:$L$76,2,FALSE)</f>
        <v>#N/A</v>
      </c>
      <c r="D1567" s="81" t="e">
        <f ca="1">VLOOKUP(B1567,Calc!$K$77:$L$87,2,FALSE)</f>
        <v>#N/A</v>
      </c>
      <c r="E1567" s="523" t="e">
        <f ca="1">VLOOKUP(B1567,Calc!$K$88:$L$98,2,FALSE)</f>
        <v>#N/A</v>
      </c>
      <c r="F1567" s="523" t="e">
        <f ca="1">IF(Errorhandling!$C$42,INDEX(Calc!$J$99:$J$109,MATCH(Display!B1567,Calc!$K$99:$K$109,0),1),#N/A)</f>
        <v>#N/A</v>
      </c>
    </row>
    <row r="1568" spans="2:6" x14ac:dyDescent="0.2">
      <c r="B1568" s="6">
        <f t="shared" si="28"/>
        <v>1565</v>
      </c>
      <c r="C1568" s="81" t="e">
        <f ca="1">VLOOKUP(B1568,Calc!$K$66:$L$76,2,FALSE)</f>
        <v>#N/A</v>
      </c>
      <c r="D1568" s="81" t="e">
        <f ca="1">VLOOKUP(B1568,Calc!$K$77:$L$87,2,FALSE)</f>
        <v>#N/A</v>
      </c>
      <c r="E1568" s="523" t="e">
        <f ca="1">VLOOKUP(B1568,Calc!$K$88:$L$98,2,FALSE)</f>
        <v>#N/A</v>
      </c>
      <c r="F1568" s="523" t="e">
        <f ca="1">IF(Errorhandling!$C$42,INDEX(Calc!$J$99:$J$109,MATCH(Display!B1568,Calc!$K$99:$K$109,0),1),#N/A)</f>
        <v>#N/A</v>
      </c>
    </row>
    <row r="1569" spans="2:6" x14ac:dyDescent="0.2">
      <c r="B1569" s="6">
        <f t="shared" si="28"/>
        <v>1566</v>
      </c>
      <c r="C1569" s="81" t="e">
        <f ca="1">VLOOKUP(B1569,Calc!$K$66:$L$76,2,FALSE)</f>
        <v>#N/A</v>
      </c>
      <c r="D1569" s="81" t="e">
        <f ca="1">VLOOKUP(B1569,Calc!$K$77:$L$87,2,FALSE)</f>
        <v>#N/A</v>
      </c>
      <c r="E1569" s="523" t="e">
        <f ca="1">VLOOKUP(B1569,Calc!$K$88:$L$98,2,FALSE)</f>
        <v>#N/A</v>
      </c>
      <c r="F1569" s="523" t="e">
        <f ca="1">IF(Errorhandling!$C$42,INDEX(Calc!$J$99:$J$109,MATCH(Display!B1569,Calc!$K$99:$K$109,0),1),#N/A)</f>
        <v>#N/A</v>
      </c>
    </row>
    <row r="1570" spans="2:6" x14ac:dyDescent="0.2">
      <c r="B1570" s="6">
        <f t="shared" si="28"/>
        <v>1567</v>
      </c>
      <c r="C1570" s="81" t="e">
        <f ca="1">VLOOKUP(B1570,Calc!$K$66:$L$76,2,FALSE)</f>
        <v>#N/A</v>
      </c>
      <c r="D1570" s="81" t="e">
        <f ca="1">VLOOKUP(B1570,Calc!$K$77:$L$87,2,FALSE)</f>
        <v>#N/A</v>
      </c>
      <c r="E1570" s="523" t="e">
        <f ca="1">VLOOKUP(B1570,Calc!$K$88:$L$98,2,FALSE)</f>
        <v>#N/A</v>
      </c>
      <c r="F1570" s="523" t="e">
        <f ca="1">IF(Errorhandling!$C$42,INDEX(Calc!$J$99:$J$109,MATCH(Display!B1570,Calc!$K$99:$K$109,0),1),#N/A)</f>
        <v>#N/A</v>
      </c>
    </row>
    <row r="1571" spans="2:6" x14ac:dyDescent="0.2">
      <c r="B1571" s="6">
        <f t="shared" si="28"/>
        <v>1568</v>
      </c>
      <c r="C1571" s="81" t="e">
        <f ca="1">VLOOKUP(B1571,Calc!$K$66:$L$76,2,FALSE)</f>
        <v>#N/A</v>
      </c>
      <c r="D1571" s="81" t="e">
        <f ca="1">VLOOKUP(B1571,Calc!$K$77:$L$87,2,FALSE)</f>
        <v>#N/A</v>
      </c>
      <c r="E1571" s="523" t="e">
        <f ca="1">VLOOKUP(B1571,Calc!$K$88:$L$98,2,FALSE)</f>
        <v>#N/A</v>
      </c>
      <c r="F1571" s="523" t="e">
        <f ca="1">IF(Errorhandling!$C$42,INDEX(Calc!$J$99:$J$109,MATCH(Display!B1571,Calc!$K$99:$K$109,0),1),#N/A)</f>
        <v>#N/A</v>
      </c>
    </row>
    <row r="1572" spans="2:6" x14ac:dyDescent="0.2">
      <c r="B1572" s="6">
        <f t="shared" si="28"/>
        <v>1569</v>
      </c>
      <c r="C1572" s="81" t="e">
        <f ca="1">VLOOKUP(B1572,Calc!$K$66:$L$76,2,FALSE)</f>
        <v>#N/A</v>
      </c>
      <c r="D1572" s="81" t="e">
        <f ca="1">VLOOKUP(B1572,Calc!$K$77:$L$87,2,FALSE)</f>
        <v>#N/A</v>
      </c>
      <c r="E1572" s="523" t="e">
        <f ca="1">VLOOKUP(B1572,Calc!$K$88:$L$98,2,FALSE)</f>
        <v>#N/A</v>
      </c>
      <c r="F1572" s="523" t="e">
        <f ca="1">IF(Errorhandling!$C$42,INDEX(Calc!$J$99:$J$109,MATCH(Display!B1572,Calc!$K$99:$K$109,0),1),#N/A)</f>
        <v>#N/A</v>
      </c>
    </row>
    <row r="1573" spans="2:6" x14ac:dyDescent="0.2">
      <c r="B1573" s="6">
        <f t="shared" si="28"/>
        <v>1570</v>
      </c>
      <c r="C1573" s="81" t="e">
        <f ca="1">VLOOKUP(B1573,Calc!$K$66:$L$76,2,FALSE)</f>
        <v>#N/A</v>
      </c>
      <c r="D1573" s="81" t="e">
        <f ca="1">VLOOKUP(B1573,Calc!$K$77:$L$87,2,FALSE)</f>
        <v>#N/A</v>
      </c>
      <c r="E1573" s="523" t="e">
        <f ca="1">VLOOKUP(B1573,Calc!$K$88:$L$98,2,FALSE)</f>
        <v>#N/A</v>
      </c>
      <c r="F1573" s="523" t="e">
        <f ca="1">IF(Errorhandling!$C$42,INDEX(Calc!$J$99:$J$109,MATCH(Display!B1573,Calc!$K$99:$K$109,0),1),#N/A)</f>
        <v>#N/A</v>
      </c>
    </row>
    <row r="1574" spans="2:6" x14ac:dyDescent="0.2">
      <c r="B1574" s="6">
        <f t="shared" si="28"/>
        <v>1571</v>
      </c>
      <c r="C1574" s="81" t="e">
        <f ca="1">VLOOKUP(B1574,Calc!$K$66:$L$76,2,FALSE)</f>
        <v>#N/A</v>
      </c>
      <c r="D1574" s="81" t="e">
        <f ca="1">VLOOKUP(B1574,Calc!$K$77:$L$87,2,FALSE)</f>
        <v>#N/A</v>
      </c>
      <c r="E1574" s="523" t="e">
        <f ca="1">VLOOKUP(B1574,Calc!$K$88:$L$98,2,FALSE)</f>
        <v>#N/A</v>
      </c>
      <c r="F1574" s="523" t="e">
        <f ca="1">IF(Errorhandling!$C$42,INDEX(Calc!$J$99:$J$109,MATCH(Display!B1574,Calc!$K$99:$K$109,0),1),#N/A)</f>
        <v>#N/A</v>
      </c>
    </row>
    <row r="1575" spans="2:6" x14ac:dyDescent="0.2">
      <c r="B1575" s="6">
        <f t="shared" si="28"/>
        <v>1572</v>
      </c>
      <c r="C1575" s="81" t="e">
        <f ca="1">VLOOKUP(B1575,Calc!$K$66:$L$76,2,FALSE)</f>
        <v>#N/A</v>
      </c>
      <c r="D1575" s="81" t="e">
        <f ca="1">VLOOKUP(B1575,Calc!$K$77:$L$87,2,FALSE)</f>
        <v>#N/A</v>
      </c>
      <c r="E1575" s="523" t="e">
        <f ca="1">VLOOKUP(B1575,Calc!$K$88:$L$98,2,FALSE)</f>
        <v>#N/A</v>
      </c>
      <c r="F1575" s="523" t="e">
        <f ca="1">IF(Errorhandling!$C$42,INDEX(Calc!$J$99:$J$109,MATCH(Display!B1575,Calc!$K$99:$K$109,0),1),#N/A)</f>
        <v>#N/A</v>
      </c>
    </row>
    <row r="1576" spans="2:6" x14ac:dyDescent="0.2">
      <c r="B1576" s="6">
        <f t="shared" si="28"/>
        <v>1573</v>
      </c>
      <c r="C1576" s="81" t="e">
        <f ca="1">VLOOKUP(B1576,Calc!$K$66:$L$76,2,FALSE)</f>
        <v>#N/A</v>
      </c>
      <c r="D1576" s="81" t="e">
        <f ca="1">VLOOKUP(B1576,Calc!$K$77:$L$87,2,FALSE)</f>
        <v>#N/A</v>
      </c>
      <c r="E1576" s="523" t="e">
        <f ca="1">VLOOKUP(B1576,Calc!$K$88:$L$98,2,FALSE)</f>
        <v>#N/A</v>
      </c>
      <c r="F1576" s="523" t="e">
        <f ca="1">IF(Errorhandling!$C$42,INDEX(Calc!$J$99:$J$109,MATCH(Display!B1576,Calc!$K$99:$K$109,0),1),#N/A)</f>
        <v>#N/A</v>
      </c>
    </row>
    <row r="1577" spans="2:6" x14ac:dyDescent="0.2">
      <c r="B1577" s="6">
        <f t="shared" si="28"/>
        <v>1574</v>
      </c>
      <c r="C1577" s="81" t="e">
        <f ca="1">VLOOKUP(B1577,Calc!$K$66:$L$76,2,FALSE)</f>
        <v>#N/A</v>
      </c>
      <c r="D1577" s="81" t="e">
        <f ca="1">VLOOKUP(B1577,Calc!$K$77:$L$87,2,FALSE)</f>
        <v>#N/A</v>
      </c>
      <c r="E1577" s="523" t="e">
        <f ca="1">VLOOKUP(B1577,Calc!$K$88:$L$98,2,FALSE)</f>
        <v>#N/A</v>
      </c>
      <c r="F1577" s="523" t="e">
        <f ca="1">IF(Errorhandling!$C$42,INDEX(Calc!$J$99:$J$109,MATCH(Display!B1577,Calc!$K$99:$K$109,0),1),#N/A)</f>
        <v>#N/A</v>
      </c>
    </row>
    <row r="1578" spans="2:6" x14ac:dyDescent="0.2">
      <c r="B1578" s="6">
        <f t="shared" si="28"/>
        <v>1575</v>
      </c>
      <c r="C1578" s="81" t="e">
        <f ca="1">VLOOKUP(B1578,Calc!$K$66:$L$76,2,FALSE)</f>
        <v>#N/A</v>
      </c>
      <c r="D1578" s="81" t="e">
        <f ca="1">VLOOKUP(B1578,Calc!$K$77:$L$87,2,FALSE)</f>
        <v>#N/A</v>
      </c>
      <c r="E1578" s="523" t="e">
        <f ca="1">VLOOKUP(B1578,Calc!$K$88:$L$98,2,FALSE)</f>
        <v>#N/A</v>
      </c>
      <c r="F1578" s="523" t="e">
        <f ca="1">IF(Errorhandling!$C$42,INDEX(Calc!$J$99:$J$109,MATCH(Display!B1578,Calc!$K$99:$K$109,0),1),#N/A)</f>
        <v>#N/A</v>
      </c>
    </row>
    <row r="1579" spans="2:6" x14ac:dyDescent="0.2">
      <c r="B1579" s="6">
        <f t="shared" si="28"/>
        <v>1576</v>
      </c>
      <c r="C1579" s="81" t="e">
        <f ca="1">VLOOKUP(B1579,Calc!$K$66:$L$76,2,FALSE)</f>
        <v>#N/A</v>
      </c>
      <c r="D1579" s="81" t="e">
        <f ca="1">VLOOKUP(B1579,Calc!$K$77:$L$87,2,FALSE)</f>
        <v>#N/A</v>
      </c>
      <c r="E1579" s="523" t="e">
        <f ca="1">VLOOKUP(B1579,Calc!$K$88:$L$98,2,FALSE)</f>
        <v>#N/A</v>
      </c>
      <c r="F1579" s="523" t="e">
        <f ca="1">IF(Errorhandling!$C$42,INDEX(Calc!$J$99:$J$109,MATCH(Display!B1579,Calc!$K$99:$K$109,0),1),#N/A)</f>
        <v>#N/A</v>
      </c>
    </row>
    <row r="1580" spans="2:6" x14ac:dyDescent="0.2">
      <c r="B1580" s="6">
        <f t="shared" si="28"/>
        <v>1577</v>
      </c>
      <c r="C1580" s="81" t="e">
        <f ca="1">VLOOKUP(B1580,Calc!$K$66:$L$76,2,FALSE)</f>
        <v>#N/A</v>
      </c>
      <c r="D1580" s="81" t="e">
        <f ca="1">VLOOKUP(B1580,Calc!$K$77:$L$87,2,FALSE)</f>
        <v>#N/A</v>
      </c>
      <c r="E1580" s="523" t="e">
        <f ca="1">VLOOKUP(B1580,Calc!$K$88:$L$98,2,FALSE)</f>
        <v>#N/A</v>
      </c>
      <c r="F1580" s="523" t="e">
        <f ca="1">IF(Errorhandling!$C$42,INDEX(Calc!$J$99:$J$109,MATCH(Display!B1580,Calc!$K$99:$K$109,0),1),#N/A)</f>
        <v>#N/A</v>
      </c>
    </row>
    <row r="1581" spans="2:6" x14ac:dyDescent="0.2">
      <c r="B1581" s="6">
        <f t="shared" si="28"/>
        <v>1578</v>
      </c>
      <c r="C1581" s="81" t="e">
        <f ca="1">VLOOKUP(B1581,Calc!$K$66:$L$76,2,FALSE)</f>
        <v>#N/A</v>
      </c>
      <c r="D1581" s="81" t="e">
        <f ca="1">VLOOKUP(B1581,Calc!$K$77:$L$87,2,FALSE)</f>
        <v>#N/A</v>
      </c>
      <c r="E1581" s="523" t="e">
        <f ca="1">VLOOKUP(B1581,Calc!$K$88:$L$98,2,FALSE)</f>
        <v>#N/A</v>
      </c>
      <c r="F1581" s="523" t="e">
        <f ca="1">IF(Errorhandling!$C$42,INDEX(Calc!$J$99:$J$109,MATCH(Display!B1581,Calc!$K$99:$K$109,0),1),#N/A)</f>
        <v>#N/A</v>
      </c>
    </row>
    <row r="1582" spans="2:6" x14ac:dyDescent="0.2">
      <c r="B1582" s="6">
        <f t="shared" si="28"/>
        <v>1579</v>
      </c>
      <c r="C1582" s="81" t="e">
        <f ca="1">VLOOKUP(B1582,Calc!$K$66:$L$76,2,FALSE)</f>
        <v>#N/A</v>
      </c>
      <c r="D1582" s="81" t="e">
        <f ca="1">VLOOKUP(B1582,Calc!$K$77:$L$87,2,FALSE)</f>
        <v>#N/A</v>
      </c>
      <c r="E1582" s="523" t="e">
        <f ca="1">VLOOKUP(B1582,Calc!$K$88:$L$98,2,FALSE)</f>
        <v>#N/A</v>
      </c>
      <c r="F1582" s="523" t="e">
        <f ca="1">IF(Errorhandling!$C$42,INDEX(Calc!$J$99:$J$109,MATCH(Display!B1582,Calc!$K$99:$K$109,0),1),#N/A)</f>
        <v>#N/A</v>
      </c>
    </row>
    <row r="1583" spans="2:6" x14ac:dyDescent="0.2">
      <c r="B1583" s="6">
        <f t="shared" si="28"/>
        <v>1580</v>
      </c>
      <c r="C1583" s="81" t="e">
        <f ca="1">VLOOKUP(B1583,Calc!$K$66:$L$76,2,FALSE)</f>
        <v>#N/A</v>
      </c>
      <c r="D1583" s="81" t="e">
        <f ca="1">VLOOKUP(B1583,Calc!$K$77:$L$87,2,FALSE)</f>
        <v>#N/A</v>
      </c>
      <c r="E1583" s="523" t="e">
        <f ca="1">VLOOKUP(B1583,Calc!$K$88:$L$98,2,FALSE)</f>
        <v>#N/A</v>
      </c>
      <c r="F1583" s="523" t="e">
        <f ca="1">IF(Errorhandling!$C$42,INDEX(Calc!$J$99:$J$109,MATCH(Display!B1583,Calc!$K$99:$K$109,0),1),#N/A)</f>
        <v>#N/A</v>
      </c>
    </row>
    <row r="1584" spans="2:6" x14ac:dyDescent="0.2">
      <c r="B1584" s="6">
        <f t="shared" si="28"/>
        <v>1581</v>
      </c>
      <c r="C1584" s="81" t="e">
        <f ca="1">VLOOKUP(B1584,Calc!$K$66:$L$76,2,FALSE)</f>
        <v>#N/A</v>
      </c>
      <c r="D1584" s="81" t="e">
        <f ca="1">VLOOKUP(B1584,Calc!$K$77:$L$87,2,FALSE)</f>
        <v>#N/A</v>
      </c>
      <c r="E1584" s="523" t="e">
        <f ca="1">VLOOKUP(B1584,Calc!$K$88:$L$98,2,FALSE)</f>
        <v>#N/A</v>
      </c>
      <c r="F1584" s="523" t="e">
        <f ca="1">IF(Errorhandling!$C$42,INDEX(Calc!$J$99:$J$109,MATCH(Display!B1584,Calc!$K$99:$K$109,0),1),#N/A)</f>
        <v>#N/A</v>
      </c>
    </row>
    <row r="1585" spans="2:6" x14ac:dyDescent="0.2">
      <c r="B1585" s="6">
        <f t="shared" si="28"/>
        <v>1582</v>
      </c>
      <c r="C1585" s="81" t="e">
        <f ca="1">VLOOKUP(B1585,Calc!$K$66:$L$76,2,FALSE)</f>
        <v>#N/A</v>
      </c>
      <c r="D1585" s="81" t="e">
        <f ca="1">VLOOKUP(B1585,Calc!$K$77:$L$87,2,FALSE)</f>
        <v>#N/A</v>
      </c>
      <c r="E1585" s="523" t="e">
        <f ca="1">VLOOKUP(B1585,Calc!$K$88:$L$98,2,FALSE)</f>
        <v>#N/A</v>
      </c>
      <c r="F1585" s="523" t="e">
        <f ca="1">IF(Errorhandling!$C$42,INDEX(Calc!$J$99:$J$109,MATCH(Display!B1585,Calc!$K$99:$K$109,0),1),#N/A)</f>
        <v>#N/A</v>
      </c>
    </row>
    <row r="1586" spans="2:6" x14ac:dyDescent="0.2">
      <c r="B1586" s="6">
        <f t="shared" si="28"/>
        <v>1583</v>
      </c>
      <c r="C1586" s="81" t="e">
        <f ca="1">VLOOKUP(B1586,Calc!$K$66:$L$76,2,FALSE)</f>
        <v>#N/A</v>
      </c>
      <c r="D1586" s="81" t="e">
        <f ca="1">VLOOKUP(B1586,Calc!$K$77:$L$87,2,FALSE)</f>
        <v>#N/A</v>
      </c>
      <c r="E1586" s="523" t="e">
        <f ca="1">VLOOKUP(B1586,Calc!$K$88:$L$98,2,FALSE)</f>
        <v>#N/A</v>
      </c>
      <c r="F1586" s="523" t="e">
        <f ca="1">IF(Errorhandling!$C$42,INDEX(Calc!$J$99:$J$109,MATCH(Display!B1586,Calc!$K$99:$K$109,0),1),#N/A)</f>
        <v>#N/A</v>
      </c>
    </row>
    <row r="1587" spans="2:6" x14ac:dyDescent="0.2">
      <c r="B1587" s="6">
        <f t="shared" si="28"/>
        <v>1584</v>
      </c>
      <c r="C1587" s="81" t="e">
        <f ca="1">VLOOKUP(B1587,Calc!$K$66:$L$76,2,FALSE)</f>
        <v>#N/A</v>
      </c>
      <c r="D1587" s="81" t="e">
        <f ca="1">VLOOKUP(B1587,Calc!$K$77:$L$87,2,FALSE)</f>
        <v>#N/A</v>
      </c>
      <c r="E1587" s="523" t="e">
        <f ca="1">VLOOKUP(B1587,Calc!$K$88:$L$98,2,FALSE)</f>
        <v>#N/A</v>
      </c>
      <c r="F1587" s="523" t="e">
        <f ca="1">IF(Errorhandling!$C$42,INDEX(Calc!$J$99:$J$109,MATCH(Display!B1587,Calc!$K$99:$K$109,0),1),#N/A)</f>
        <v>#N/A</v>
      </c>
    </row>
    <row r="1588" spans="2:6" x14ac:dyDescent="0.2">
      <c r="B1588" s="6">
        <f t="shared" si="28"/>
        <v>1585</v>
      </c>
      <c r="C1588" s="81" t="e">
        <f ca="1">VLOOKUP(B1588,Calc!$K$66:$L$76,2,FALSE)</f>
        <v>#N/A</v>
      </c>
      <c r="D1588" s="81" t="e">
        <f ca="1">VLOOKUP(B1588,Calc!$K$77:$L$87,2,FALSE)</f>
        <v>#N/A</v>
      </c>
      <c r="E1588" s="523" t="e">
        <f ca="1">VLOOKUP(B1588,Calc!$K$88:$L$98,2,FALSE)</f>
        <v>#N/A</v>
      </c>
      <c r="F1588" s="523" t="e">
        <f ca="1">IF(Errorhandling!$C$42,INDEX(Calc!$J$99:$J$109,MATCH(Display!B1588,Calc!$K$99:$K$109,0),1),#N/A)</f>
        <v>#N/A</v>
      </c>
    </row>
    <row r="1589" spans="2:6" x14ac:dyDescent="0.2">
      <c r="B1589" s="6">
        <f t="shared" si="28"/>
        <v>1586</v>
      </c>
      <c r="C1589" s="81" t="e">
        <f ca="1">VLOOKUP(B1589,Calc!$K$66:$L$76,2,FALSE)</f>
        <v>#N/A</v>
      </c>
      <c r="D1589" s="81" t="e">
        <f ca="1">VLOOKUP(B1589,Calc!$K$77:$L$87,2,FALSE)</f>
        <v>#N/A</v>
      </c>
      <c r="E1589" s="523" t="e">
        <f ca="1">VLOOKUP(B1589,Calc!$K$88:$L$98,2,FALSE)</f>
        <v>#N/A</v>
      </c>
      <c r="F1589" s="523" t="e">
        <f ca="1">IF(Errorhandling!$C$42,INDEX(Calc!$J$99:$J$109,MATCH(Display!B1589,Calc!$K$99:$K$109,0),1),#N/A)</f>
        <v>#N/A</v>
      </c>
    </row>
    <row r="1590" spans="2:6" x14ac:dyDescent="0.2">
      <c r="B1590" s="6">
        <f t="shared" si="28"/>
        <v>1587</v>
      </c>
      <c r="C1590" s="81" t="e">
        <f ca="1">VLOOKUP(B1590,Calc!$K$66:$L$76,2,FALSE)</f>
        <v>#N/A</v>
      </c>
      <c r="D1590" s="81" t="e">
        <f ca="1">VLOOKUP(B1590,Calc!$K$77:$L$87,2,FALSE)</f>
        <v>#N/A</v>
      </c>
      <c r="E1590" s="523" t="e">
        <f ca="1">VLOOKUP(B1590,Calc!$K$88:$L$98,2,FALSE)</f>
        <v>#N/A</v>
      </c>
      <c r="F1590" s="523" t="e">
        <f ca="1">IF(Errorhandling!$C$42,INDEX(Calc!$J$99:$J$109,MATCH(Display!B1590,Calc!$K$99:$K$109,0),1),#N/A)</f>
        <v>#N/A</v>
      </c>
    </row>
    <row r="1591" spans="2:6" x14ac:dyDescent="0.2">
      <c r="B1591" s="6">
        <f t="shared" si="28"/>
        <v>1588</v>
      </c>
      <c r="C1591" s="81" t="e">
        <f ca="1">VLOOKUP(B1591,Calc!$K$66:$L$76,2,FALSE)</f>
        <v>#N/A</v>
      </c>
      <c r="D1591" s="81" t="e">
        <f ca="1">VLOOKUP(B1591,Calc!$K$77:$L$87,2,FALSE)</f>
        <v>#N/A</v>
      </c>
      <c r="E1591" s="523" t="e">
        <f ca="1">VLOOKUP(B1591,Calc!$K$88:$L$98,2,FALSE)</f>
        <v>#N/A</v>
      </c>
      <c r="F1591" s="523" t="e">
        <f ca="1">IF(Errorhandling!$C$42,INDEX(Calc!$J$99:$J$109,MATCH(Display!B1591,Calc!$K$99:$K$109,0),1),#N/A)</f>
        <v>#N/A</v>
      </c>
    </row>
    <row r="1592" spans="2:6" x14ac:dyDescent="0.2">
      <c r="B1592" s="6">
        <f t="shared" si="28"/>
        <v>1589</v>
      </c>
      <c r="C1592" s="81" t="e">
        <f ca="1">VLOOKUP(B1592,Calc!$K$66:$L$76,2,FALSE)</f>
        <v>#N/A</v>
      </c>
      <c r="D1592" s="81" t="e">
        <f ca="1">VLOOKUP(B1592,Calc!$K$77:$L$87,2,FALSE)</f>
        <v>#N/A</v>
      </c>
      <c r="E1592" s="523" t="e">
        <f ca="1">VLOOKUP(B1592,Calc!$K$88:$L$98,2,FALSE)</f>
        <v>#N/A</v>
      </c>
      <c r="F1592" s="523" t="e">
        <f ca="1">IF(Errorhandling!$C$42,INDEX(Calc!$J$99:$J$109,MATCH(Display!B1592,Calc!$K$99:$K$109,0),1),#N/A)</f>
        <v>#N/A</v>
      </c>
    </row>
    <row r="1593" spans="2:6" x14ac:dyDescent="0.2">
      <c r="B1593" s="6">
        <f t="shared" si="28"/>
        <v>1590</v>
      </c>
      <c r="C1593" s="81" t="e">
        <f ca="1">VLOOKUP(B1593,Calc!$K$66:$L$76,2,FALSE)</f>
        <v>#N/A</v>
      </c>
      <c r="D1593" s="81" t="e">
        <f ca="1">VLOOKUP(B1593,Calc!$K$77:$L$87,2,FALSE)</f>
        <v>#N/A</v>
      </c>
      <c r="E1593" s="523" t="e">
        <f ca="1">VLOOKUP(B1593,Calc!$K$88:$L$98,2,FALSE)</f>
        <v>#N/A</v>
      </c>
      <c r="F1593" s="523" t="e">
        <f ca="1">IF(Errorhandling!$C$42,INDEX(Calc!$J$99:$J$109,MATCH(Display!B1593,Calc!$K$99:$K$109,0),1),#N/A)</f>
        <v>#N/A</v>
      </c>
    </row>
    <row r="1594" spans="2:6" x14ac:dyDescent="0.2">
      <c r="B1594" s="6">
        <f t="shared" si="28"/>
        <v>1591</v>
      </c>
      <c r="C1594" s="81" t="e">
        <f ca="1">VLOOKUP(B1594,Calc!$K$66:$L$76,2,FALSE)</f>
        <v>#N/A</v>
      </c>
      <c r="D1594" s="81" t="e">
        <f ca="1">VLOOKUP(B1594,Calc!$K$77:$L$87,2,FALSE)</f>
        <v>#N/A</v>
      </c>
      <c r="E1594" s="523" t="e">
        <f ca="1">VLOOKUP(B1594,Calc!$K$88:$L$98,2,FALSE)</f>
        <v>#N/A</v>
      </c>
      <c r="F1594" s="523" t="e">
        <f ca="1">IF(Errorhandling!$C$42,INDEX(Calc!$J$99:$J$109,MATCH(Display!B1594,Calc!$K$99:$K$109,0),1),#N/A)</f>
        <v>#N/A</v>
      </c>
    </row>
    <row r="1595" spans="2:6" x14ac:dyDescent="0.2">
      <c r="B1595" s="6">
        <f t="shared" si="28"/>
        <v>1592</v>
      </c>
      <c r="C1595" s="81" t="e">
        <f ca="1">VLOOKUP(B1595,Calc!$K$66:$L$76,2,FALSE)</f>
        <v>#N/A</v>
      </c>
      <c r="D1595" s="81" t="e">
        <f ca="1">VLOOKUP(B1595,Calc!$K$77:$L$87,2,FALSE)</f>
        <v>#N/A</v>
      </c>
      <c r="E1595" s="523" t="e">
        <f ca="1">VLOOKUP(B1595,Calc!$K$88:$L$98,2,FALSE)</f>
        <v>#N/A</v>
      </c>
      <c r="F1595" s="523" t="e">
        <f ca="1">IF(Errorhandling!$C$42,INDEX(Calc!$J$99:$J$109,MATCH(Display!B1595,Calc!$K$99:$K$109,0),1),#N/A)</f>
        <v>#N/A</v>
      </c>
    </row>
    <row r="1596" spans="2:6" x14ac:dyDescent="0.2">
      <c r="B1596" s="6">
        <f t="shared" si="28"/>
        <v>1593</v>
      </c>
      <c r="C1596" s="81" t="e">
        <f ca="1">VLOOKUP(B1596,Calc!$K$66:$L$76,2,FALSE)</f>
        <v>#N/A</v>
      </c>
      <c r="D1596" s="81" t="e">
        <f ca="1">VLOOKUP(B1596,Calc!$K$77:$L$87,2,FALSE)</f>
        <v>#N/A</v>
      </c>
      <c r="E1596" s="523" t="e">
        <f ca="1">VLOOKUP(B1596,Calc!$K$88:$L$98,2,FALSE)</f>
        <v>#N/A</v>
      </c>
      <c r="F1596" s="523" t="e">
        <f ca="1">IF(Errorhandling!$C$42,INDEX(Calc!$J$99:$J$109,MATCH(Display!B1596,Calc!$K$99:$K$109,0),1),#N/A)</f>
        <v>#N/A</v>
      </c>
    </row>
    <row r="1597" spans="2:6" x14ac:dyDescent="0.2">
      <c r="B1597" s="6">
        <f t="shared" si="28"/>
        <v>1594</v>
      </c>
      <c r="C1597" s="81" t="e">
        <f ca="1">VLOOKUP(B1597,Calc!$K$66:$L$76,2,FALSE)</f>
        <v>#N/A</v>
      </c>
      <c r="D1597" s="81" t="e">
        <f ca="1">VLOOKUP(B1597,Calc!$K$77:$L$87,2,FALSE)</f>
        <v>#N/A</v>
      </c>
      <c r="E1597" s="523" t="e">
        <f ca="1">VLOOKUP(B1597,Calc!$K$88:$L$98,2,FALSE)</f>
        <v>#N/A</v>
      </c>
      <c r="F1597" s="523" t="e">
        <f ca="1">IF(Errorhandling!$C$42,INDEX(Calc!$J$99:$J$109,MATCH(Display!B1597,Calc!$K$99:$K$109,0),1),#N/A)</f>
        <v>#N/A</v>
      </c>
    </row>
    <row r="1598" spans="2:6" x14ac:dyDescent="0.2">
      <c r="B1598" s="6">
        <f t="shared" si="28"/>
        <v>1595</v>
      </c>
      <c r="C1598" s="81" t="e">
        <f ca="1">VLOOKUP(B1598,Calc!$K$66:$L$76,2,FALSE)</f>
        <v>#N/A</v>
      </c>
      <c r="D1598" s="81" t="e">
        <f ca="1">VLOOKUP(B1598,Calc!$K$77:$L$87,2,FALSE)</f>
        <v>#N/A</v>
      </c>
      <c r="E1598" s="523" t="e">
        <f ca="1">VLOOKUP(B1598,Calc!$K$88:$L$98,2,FALSE)</f>
        <v>#N/A</v>
      </c>
      <c r="F1598" s="523" t="e">
        <f ca="1">IF(Errorhandling!$C$42,INDEX(Calc!$J$99:$J$109,MATCH(Display!B1598,Calc!$K$99:$K$109,0),1),#N/A)</f>
        <v>#N/A</v>
      </c>
    </row>
    <row r="1599" spans="2:6" x14ac:dyDescent="0.2">
      <c r="B1599" s="6">
        <f t="shared" si="28"/>
        <v>1596</v>
      </c>
      <c r="C1599" s="81" t="e">
        <f ca="1">VLOOKUP(B1599,Calc!$K$66:$L$76,2,FALSE)</f>
        <v>#N/A</v>
      </c>
      <c r="D1599" s="81" t="e">
        <f ca="1">VLOOKUP(B1599,Calc!$K$77:$L$87,2,FALSE)</f>
        <v>#N/A</v>
      </c>
      <c r="E1599" s="523" t="e">
        <f ca="1">VLOOKUP(B1599,Calc!$K$88:$L$98,2,FALSE)</f>
        <v>#N/A</v>
      </c>
      <c r="F1599" s="523" t="e">
        <f ca="1">IF(Errorhandling!$C$42,INDEX(Calc!$J$99:$J$109,MATCH(Display!B1599,Calc!$K$99:$K$109,0),1),#N/A)</f>
        <v>#N/A</v>
      </c>
    </row>
    <row r="1600" spans="2:6" x14ac:dyDescent="0.2">
      <c r="B1600" s="6">
        <f t="shared" si="28"/>
        <v>1597</v>
      </c>
      <c r="C1600" s="81" t="e">
        <f ca="1">VLOOKUP(B1600,Calc!$K$66:$L$76,2,FALSE)</f>
        <v>#N/A</v>
      </c>
      <c r="D1600" s="81" t="e">
        <f ca="1">VLOOKUP(B1600,Calc!$K$77:$L$87,2,FALSE)</f>
        <v>#N/A</v>
      </c>
      <c r="E1600" s="523" t="e">
        <f ca="1">VLOOKUP(B1600,Calc!$K$88:$L$98,2,FALSE)</f>
        <v>#N/A</v>
      </c>
      <c r="F1600" s="523" t="e">
        <f ca="1">IF(Errorhandling!$C$42,INDEX(Calc!$J$99:$J$109,MATCH(Display!B1600,Calc!$K$99:$K$109,0),1),#N/A)</f>
        <v>#N/A</v>
      </c>
    </row>
    <row r="1601" spans="2:6" x14ac:dyDescent="0.2">
      <c r="B1601" s="6">
        <f t="shared" si="28"/>
        <v>1598</v>
      </c>
      <c r="C1601" s="81" t="e">
        <f ca="1">VLOOKUP(B1601,Calc!$K$66:$L$76,2,FALSE)</f>
        <v>#N/A</v>
      </c>
      <c r="D1601" s="81" t="e">
        <f ca="1">VLOOKUP(B1601,Calc!$K$77:$L$87,2,FALSE)</f>
        <v>#N/A</v>
      </c>
      <c r="E1601" s="523" t="e">
        <f ca="1">VLOOKUP(B1601,Calc!$K$88:$L$98,2,FALSE)</f>
        <v>#N/A</v>
      </c>
      <c r="F1601" s="523" t="e">
        <f ca="1">IF(Errorhandling!$C$42,INDEX(Calc!$J$99:$J$109,MATCH(Display!B1601,Calc!$K$99:$K$109,0),1),#N/A)</f>
        <v>#N/A</v>
      </c>
    </row>
    <row r="1602" spans="2:6" x14ac:dyDescent="0.2">
      <c r="B1602" s="6">
        <f t="shared" si="28"/>
        <v>1599</v>
      </c>
      <c r="C1602" s="81" t="e">
        <f ca="1">VLOOKUP(B1602,Calc!$K$66:$L$76,2,FALSE)</f>
        <v>#N/A</v>
      </c>
      <c r="D1602" s="81" t="e">
        <f ca="1">VLOOKUP(B1602,Calc!$K$77:$L$87,2,FALSE)</f>
        <v>#N/A</v>
      </c>
      <c r="E1602" s="523" t="e">
        <f ca="1">VLOOKUP(B1602,Calc!$K$88:$L$98,2,FALSE)</f>
        <v>#N/A</v>
      </c>
      <c r="F1602" s="523" t="e">
        <f ca="1">IF(Errorhandling!$C$42,INDEX(Calc!$J$99:$J$109,MATCH(Display!B1602,Calc!$K$99:$K$109,0),1),#N/A)</f>
        <v>#N/A</v>
      </c>
    </row>
    <row r="1603" spans="2:6" x14ac:dyDescent="0.2">
      <c r="B1603" s="6">
        <f t="shared" si="28"/>
        <v>1600</v>
      </c>
      <c r="C1603" s="81" t="e">
        <f ca="1">VLOOKUP(B1603,Calc!$K$66:$L$76,2,FALSE)</f>
        <v>#N/A</v>
      </c>
      <c r="D1603" s="81" t="e">
        <f ca="1">VLOOKUP(B1603,Calc!$K$77:$L$87,2,FALSE)</f>
        <v>#N/A</v>
      </c>
      <c r="E1603" s="523" t="e">
        <f ca="1">VLOOKUP(B1603,Calc!$K$88:$L$98,2,FALSE)</f>
        <v>#N/A</v>
      </c>
      <c r="F1603" s="523" t="e">
        <f ca="1">IF(Errorhandling!$C$42,INDEX(Calc!$J$99:$J$109,MATCH(Display!B1603,Calc!$K$99:$K$109,0),1),#N/A)</f>
        <v>#N/A</v>
      </c>
    </row>
    <row r="1604" spans="2:6" x14ac:dyDescent="0.2">
      <c r="B1604" s="6">
        <f t="shared" si="28"/>
        <v>1601</v>
      </c>
      <c r="C1604" s="81" t="e">
        <f ca="1">VLOOKUP(B1604,Calc!$K$66:$L$76,2,FALSE)</f>
        <v>#N/A</v>
      </c>
      <c r="D1604" s="81" t="e">
        <f ca="1">VLOOKUP(B1604,Calc!$K$77:$L$87,2,FALSE)</f>
        <v>#N/A</v>
      </c>
      <c r="E1604" s="523" t="e">
        <f ca="1">VLOOKUP(B1604,Calc!$K$88:$L$98,2,FALSE)</f>
        <v>#N/A</v>
      </c>
      <c r="F1604" s="523" t="e">
        <f ca="1">IF(Errorhandling!$C$42,INDEX(Calc!$J$99:$J$109,MATCH(Display!B1604,Calc!$K$99:$K$109,0),1),#N/A)</f>
        <v>#N/A</v>
      </c>
    </row>
    <row r="1605" spans="2:6" x14ac:dyDescent="0.2">
      <c r="B1605" s="6">
        <f t="shared" si="28"/>
        <v>1602</v>
      </c>
      <c r="C1605" s="81" t="e">
        <f ca="1">VLOOKUP(B1605,Calc!$K$66:$L$76,2,FALSE)</f>
        <v>#N/A</v>
      </c>
      <c r="D1605" s="81" t="e">
        <f ca="1">VLOOKUP(B1605,Calc!$K$77:$L$87,2,FALSE)</f>
        <v>#N/A</v>
      </c>
      <c r="E1605" s="523" t="e">
        <f ca="1">VLOOKUP(B1605,Calc!$K$88:$L$98,2,FALSE)</f>
        <v>#N/A</v>
      </c>
      <c r="F1605" s="523" t="e">
        <f ca="1">IF(Errorhandling!$C$42,INDEX(Calc!$J$99:$J$109,MATCH(Display!B1605,Calc!$K$99:$K$109,0),1),#N/A)</f>
        <v>#N/A</v>
      </c>
    </row>
    <row r="1606" spans="2:6" x14ac:dyDescent="0.2">
      <c r="B1606" s="6">
        <f t="shared" si="28"/>
        <v>1603</v>
      </c>
      <c r="C1606" s="81" t="e">
        <f ca="1">VLOOKUP(B1606,Calc!$K$66:$L$76,2,FALSE)</f>
        <v>#N/A</v>
      </c>
      <c r="D1606" s="81" t="e">
        <f ca="1">VLOOKUP(B1606,Calc!$K$77:$L$87,2,FALSE)</f>
        <v>#N/A</v>
      </c>
      <c r="E1606" s="523" t="e">
        <f ca="1">VLOOKUP(B1606,Calc!$K$88:$L$98,2,FALSE)</f>
        <v>#N/A</v>
      </c>
      <c r="F1606" s="523" t="e">
        <f ca="1">IF(Errorhandling!$C$42,INDEX(Calc!$J$99:$J$109,MATCH(Display!B1606,Calc!$K$99:$K$109,0),1),#N/A)</f>
        <v>#N/A</v>
      </c>
    </row>
    <row r="1607" spans="2:6" x14ac:dyDescent="0.2">
      <c r="B1607" s="6">
        <f t="shared" ref="B1607:B1670" si="29">1+B1606</f>
        <v>1604</v>
      </c>
      <c r="C1607" s="81" t="e">
        <f ca="1">VLOOKUP(B1607,Calc!$K$66:$L$76,2,FALSE)</f>
        <v>#N/A</v>
      </c>
      <c r="D1607" s="81" t="e">
        <f ca="1">VLOOKUP(B1607,Calc!$K$77:$L$87,2,FALSE)</f>
        <v>#N/A</v>
      </c>
      <c r="E1607" s="523" t="e">
        <f ca="1">VLOOKUP(B1607,Calc!$K$88:$L$98,2,FALSE)</f>
        <v>#N/A</v>
      </c>
      <c r="F1607" s="523" t="e">
        <f ca="1">IF(Errorhandling!$C$42,INDEX(Calc!$J$99:$J$109,MATCH(Display!B1607,Calc!$K$99:$K$109,0),1),#N/A)</f>
        <v>#N/A</v>
      </c>
    </row>
    <row r="1608" spans="2:6" x14ac:dyDescent="0.2">
      <c r="B1608" s="6">
        <f t="shared" si="29"/>
        <v>1605</v>
      </c>
      <c r="C1608" s="81" t="e">
        <f ca="1">VLOOKUP(B1608,Calc!$K$66:$L$76,2,FALSE)</f>
        <v>#N/A</v>
      </c>
      <c r="D1608" s="81" t="e">
        <f ca="1">VLOOKUP(B1608,Calc!$K$77:$L$87,2,FALSE)</f>
        <v>#N/A</v>
      </c>
      <c r="E1608" s="523" t="e">
        <f ca="1">VLOOKUP(B1608,Calc!$K$88:$L$98,2,FALSE)</f>
        <v>#N/A</v>
      </c>
      <c r="F1608" s="523" t="e">
        <f ca="1">IF(Errorhandling!$C$42,INDEX(Calc!$J$99:$J$109,MATCH(Display!B1608,Calc!$K$99:$K$109,0),1),#N/A)</f>
        <v>#N/A</v>
      </c>
    </row>
    <row r="1609" spans="2:6" x14ac:dyDescent="0.2">
      <c r="B1609" s="6">
        <f t="shared" si="29"/>
        <v>1606</v>
      </c>
      <c r="C1609" s="81" t="e">
        <f ca="1">VLOOKUP(B1609,Calc!$K$66:$L$76,2,FALSE)</f>
        <v>#N/A</v>
      </c>
      <c r="D1609" s="81" t="e">
        <f ca="1">VLOOKUP(B1609,Calc!$K$77:$L$87,2,FALSE)</f>
        <v>#N/A</v>
      </c>
      <c r="E1609" s="523" t="e">
        <f ca="1">VLOOKUP(B1609,Calc!$K$88:$L$98,2,FALSE)</f>
        <v>#N/A</v>
      </c>
      <c r="F1609" s="523" t="e">
        <f ca="1">IF(Errorhandling!$C$42,INDEX(Calc!$J$99:$J$109,MATCH(Display!B1609,Calc!$K$99:$K$109,0),1),#N/A)</f>
        <v>#N/A</v>
      </c>
    </row>
    <row r="1610" spans="2:6" x14ac:dyDescent="0.2">
      <c r="B1610" s="6">
        <f t="shared" si="29"/>
        <v>1607</v>
      </c>
      <c r="C1610" s="81" t="e">
        <f ca="1">VLOOKUP(B1610,Calc!$K$66:$L$76,2,FALSE)</f>
        <v>#N/A</v>
      </c>
      <c r="D1610" s="81" t="e">
        <f ca="1">VLOOKUP(B1610,Calc!$K$77:$L$87,2,FALSE)</f>
        <v>#N/A</v>
      </c>
      <c r="E1610" s="523" t="e">
        <f ca="1">VLOOKUP(B1610,Calc!$K$88:$L$98,2,FALSE)</f>
        <v>#N/A</v>
      </c>
      <c r="F1610" s="523" t="e">
        <f ca="1">IF(Errorhandling!$C$42,INDEX(Calc!$J$99:$J$109,MATCH(Display!B1610,Calc!$K$99:$K$109,0),1),#N/A)</f>
        <v>#N/A</v>
      </c>
    </row>
    <row r="1611" spans="2:6" x14ac:dyDescent="0.2">
      <c r="B1611" s="6">
        <f t="shared" si="29"/>
        <v>1608</v>
      </c>
      <c r="C1611" s="81" t="e">
        <f ca="1">VLOOKUP(B1611,Calc!$K$66:$L$76,2,FALSE)</f>
        <v>#N/A</v>
      </c>
      <c r="D1611" s="81" t="e">
        <f ca="1">VLOOKUP(B1611,Calc!$K$77:$L$87,2,FALSE)</f>
        <v>#N/A</v>
      </c>
      <c r="E1611" s="523" t="e">
        <f ca="1">VLOOKUP(B1611,Calc!$K$88:$L$98,2,FALSE)</f>
        <v>#N/A</v>
      </c>
      <c r="F1611" s="523" t="e">
        <f ca="1">IF(Errorhandling!$C$42,INDEX(Calc!$J$99:$J$109,MATCH(Display!B1611,Calc!$K$99:$K$109,0),1),#N/A)</f>
        <v>#N/A</v>
      </c>
    </row>
    <row r="1612" spans="2:6" x14ac:dyDescent="0.2">
      <c r="B1612" s="6">
        <f t="shared" si="29"/>
        <v>1609</v>
      </c>
      <c r="C1612" s="81" t="e">
        <f ca="1">VLOOKUP(B1612,Calc!$K$66:$L$76,2,FALSE)</f>
        <v>#N/A</v>
      </c>
      <c r="D1612" s="81" t="e">
        <f ca="1">VLOOKUP(B1612,Calc!$K$77:$L$87,2,FALSE)</f>
        <v>#N/A</v>
      </c>
      <c r="E1612" s="523" t="e">
        <f ca="1">VLOOKUP(B1612,Calc!$K$88:$L$98,2,FALSE)</f>
        <v>#N/A</v>
      </c>
      <c r="F1612" s="523" t="e">
        <f ca="1">IF(Errorhandling!$C$42,INDEX(Calc!$J$99:$J$109,MATCH(Display!B1612,Calc!$K$99:$K$109,0),1),#N/A)</f>
        <v>#N/A</v>
      </c>
    </row>
    <row r="1613" spans="2:6" x14ac:dyDescent="0.2">
      <c r="B1613" s="6">
        <f t="shared" si="29"/>
        <v>1610</v>
      </c>
      <c r="C1613" s="81" t="e">
        <f ca="1">VLOOKUP(B1613,Calc!$K$66:$L$76,2,FALSE)</f>
        <v>#N/A</v>
      </c>
      <c r="D1613" s="81" t="e">
        <f ca="1">VLOOKUP(B1613,Calc!$K$77:$L$87,2,FALSE)</f>
        <v>#N/A</v>
      </c>
      <c r="E1613" s="523" t="e">
        <f ca="1">VLOOKUP(B1613,Calc!$K$88:$L$98,2,FALSE)</f>
        <v>#N/A</v>
      </c>
      <c r="F1613" s="523" t="e">
        <f ca="1">IF(Errorhandling!$C$42,INDEX(Calc!$J$99:$J$109,MATCH(Display!B1613,Calc!$K$99:$K$109,0),1),#N/A)</f>
        <v>#N/A</v>
      </c>
    </row>
    <row r="1614" spans="2:6" x14ac:dyDescent="0.2">
      <c r="B1614" s="6">
        <f t="shared" si="29"/>
        <v>1611</v>
      </c>
      <c r="C1614" s="81" t="e">
        <f ca="1">VLOOKUP(B1614,Calc!$K$66:$L$76,2,FALSE)</f>
        <v>#N/A</v>
      </c>
      <c r="D1614" s="81" t="e">
        <f ca="1">VLOOKUP(B1614,Calc!$K$77:$L$87,2,FALSE)</f>
        <v>#N/A</v>
      </c>
      <c r="E1614" s="523" t="e">
        <f ca="1">VLOOKUP(B1614,Calc!$K$88:$L$98,2,FALSE)</f>
        <v>#N/A</v>
      </c>
      <c r="F1614" s="523" t="e">
        <f ca="1">IF(Errorhandling!$C$42,INDEX(Calc!$J$99:$J$109,MATCH(Display!B1614,Calc!$K$99:$K$109,0),1),#N/A)</f>
        <v>#N/A</v>
      </c>
    </row>
    <row r="1615" spans="2:6" x14ac:dyDescent="0.2">
      <c r="B1615" s="6">
        <f t="shared" si="29"/>
        <v>1612</v>
      </c>
      <c r="C1615" s="81" t="e">
        <f ca="1">VLOOKUP(B1615,Calc!$K$66:$L$76,2,FALSE)</f>
        <v>#N/A</v>
      </c>
      <c r="D1615" s="81" t="e">
        <f ca="1">VLOOKUP(B1615,Calc!$K$77:$L$87,2,FALSE)</f>
        <v>#N/A</v>
      </c>
      <c r="E1615" s="523" t="e">
        <f ca="1">VLOOKUP(B1615,Calc!$K$88:$L$98,2,FALSE)</f>
        <v>#N/A</v>
      </c>
      <c r="F1615" s="523" t="e">
        <f ca="1">IF(Errorhandling!$C$42,INDEX(Calc!$J$99:$J$109,MATCH(Display!B1615,Calc!$K$99:$K$109,0),1),#N/A)</f>
        <v>#N/A</v>
      </c>
    </row>
    <row r="1616" spans="2:6" x14ac:dyDescent="0.2">
      <c r="B1616" s="6">
        <f t="shared" si="29"/>
        <v>1613</v>
      </c>
      <c r="C1616" s="81" t="e">
        <f ca="1">VLOOKUP(B1616,Calc!$K$66:$L$76,2,FALSE)</f>
        <v>#N/A</v>
      </c>
      <c r="D1616" s="81" t="e">
        <f ca="1">VLOOKUP(B1616,Calc!$K$77:$L$87,2,FALSE)</f>
        <v>#N/A</v>
      </c>
      <c r="E1616" s="523" t="e">
        <f ca="1">VLOOKUP(B1616,Calc!$K$88:$L$98,2,FALSE)</f>
        <v>#N/A</v>
      </c>
      <c r="F1616" s="523" t="e">
        <f ca="1">IF(Errorhandling!$C$42,INDEX(Calc!$J$99:$J$109,MATCH(Display!B1616,Calc!$K$99:$K$109,0),1),#N/A)</f>
        <v>#N/A</v>
      </c>
    </row>
    <row r="1617" spans="2:6" x14ac:dyDescent="0.2">
      <c r="B1617" s="6">
        <f t="shared" si="29"/>
        <v>1614</v>
      </c>
      <c r="C1617" s="81" t="e">
        <f ca="1">VLOOKUP(B1617,Calc!$K$66:$L$76,2,FALSE)</f>
        <v>#N/A</v>
      </c>
      <c r="D1617" s="81" t="e">
        <f ca="1">VLOOKUP(B1617,Calc!$K$77:$L$87,2,FALSE)</f>
        <v>#N/A</v>
      </c>
      <c r="E1617" s="523" t="e">
        <f ca="1">VLOOKUP(B1617,Calc!$K$88:$L$98,2,FALSE)</f>
        <v>#N/A</v>
      </c>
      <c r="F1617" s="523" t="e">
        <f ca="1">IF(Errorhandling!$C$42,INDEX(Calc!$J$99:$J$109,MATCH(Display!B1617,Calc!$K$99:$K$109,0),1),#N/A)</f>
        <v>#N/A</v>
      </c>
    </row>
    <row r="1618" spans="2:6" x14ac:dyDescent="0.2">
      <c r="B1618" s="6">
        <f t="shared" si="29"/>
        <v>1615</v>
      </c>
      <c r="C1618" s="81" t="e">
        <f ca="1">VLOOKUP(B1618,Calc!$K$66:$L$76,2,FALSE)</f>
        <v>#N/A</v>
      </c>
      <c r="D1618" s="81" t="e">
        <f ca="1">VLOOKUP(B1618,Calc!$K$77:$L$87,2,FALSE)</f>
        <v>#N/A</v>
      </c>
      <c r="E1618" s="523" t="e">
        <f ca="1">VLOOKUP(B1618,Calc!$K$88:$L$98,2,FALSE)</f>
        <v>#N/A</v>
      </c>
      <c r="F1618" s="523" t="e">
        <f ca="1">IF(Errorhandling!$C$42,INDEX(Calc!$J$99:$J$109,MATCH(Display!B1618,Calc!$K$99:$K$109,0),1),#N/A)</f>
        <v>#N/A</v>
      </c>
    </row>
    <row r="1619" spans="2:6" x14ac:dyDescent="0.2">
      <c r="B1619" s="6">
        <f t="shared" si="29"/>
        <v>1616</v>
      </c>
      <c r="C1619" s="81" t="e">
        <f ca="1">VLOOKUP(B1619,Calc!$K$66:$L$76,2,FALSE)</f>
        <v>#N/A</v>
      </c>
      <c r="D1619" s="81" t="e">
        <f ca="1">VLOOKUP(B1619,Calc!$K$77:$L$87,2,FALSE)</f>
        <v>#N/A</v>
      </c>
      <c r="E1619" s="523" t="e">
        <f ca="1">VLOOKUP(B1619,Calc!$K$88:$L$98,2,FALSE)</f>
        <v>#N/A</v>
      </c>
      <c r="F1619" s="523" t="e">
        <f ca="1">IF(Errorhandling!$C$42,INDEX(Calc!$J$99:$J$109,MATCH(Display!B1619,Calc!$K$99:$K$109,0),1),#N/A)</f>
        <v>#N/A</v>
      </c>
    </row>
    <row r="1620" spans="2:6" x14ac:dyDescent="0.2">
      <c r="B1620" s="6">
        <f t="shared" si="29"/>
        <v>1617</v>
      </c>
      <c r="C1620" s="81" t="e">
        <f ca="1">VLOOKUP(B1620,Calc!$K$66:$L$76,2,FALSE)</f>
        <v>#N/A</v>
      </c>
      <c r="D1620" s="81" t="e">
        <f ca="1">VLOOKUP(B1620,Calc!$K$77:$L$87,2,FALSE)</f>
        <v>#N/A</v>
      </c>
      <c r="E1620" s="523" t="e">
        <f ca="1">VLOOKUP(B1620,Calc!$K$88:$L$98,2,FALSE)</f>
        <v>#N/A</v>
      </c>
      <c r="F1620" s="523" t="e">
        <f ca="1">IF(Errorhandling!$C$42,INDEX(Calc!$J$99:$J$109,MATCH(Display!B1620,Calc!$K$99:$K$109,0),1),#N/A)</f>
        <v>#N/A</v>
      </c>
    </row>
    <row r="1621" spans="2:6" x14ac:dyDescent="0.2">
      <c r="B1621" s="6">
        <f t="shared" si="29"/>
        <v>1618</v>
      </c>
      <c r="C1621" s="81" t="e">
        <f ca="1">VLOOKUP(B1621,Calc!$K$66:$L$76,2,FALSE)</f>
        <v>#N/A</v>
      </c>
      <c r="D1621" s="81" t="e">
        <f ca="1">VLOOKUP(B1621,Calc!$K$77:$L$87,2,FALSE)</f>
        <v>#N/A</v>
      </c>
      <c r="E1621" s="523" t="e">
        <f ca="1">VLOOKUP(B1621,Calc!$K$88:$L$98,2,FALSE)</f>
        <v>#N/A</v>
      </c>
      <c r="F1621" s="523" t="e">
        <f ca="1">IF(Errorhandling!$C$42,INDEX(Calc!$J$99:$J$109,MATCH(Display!B1621,Calc!$K$99:$K$109,0),1),#N/A)</f>
        <v>#N/A</v>
      </c>
    </row>
    <row r="1622" spans="2:6" x14ac:dyDescent="0.2">
      <c r="B1622" s="6">
        <f t="shared" si="29"/>
        <v>1619</v>
      </c>
      <c r="C1622" s="81" t="e">
        <f ca="1">VLOOKUP(B1622,Calc!$K$66:$L$76,2,FALSE)</f>
        <v>#N/A</v>
      </c>
      <c r="D1622" s="81" t="e">
        <f ca="1">VLOOKUP(B1622,Calc!$K$77:$L$87,2,FALSE)</f>
        <v>#N/A</v>
      </c>
      <c r="E1622" s="523" t="e">
        <f ca="1">VLOOKUP(B1622,Calc!$K$88:$L$98,2,FALSE)</f>
        <v>#N/A</v>
      </c>
      <c r="F1622" s="523" t="e">
        <f ca="1">IF(Errorhandling!$C$42,INDEX(Calc!$J$99:$J$109,MATCH(Display!B1622,Calc!$K$99:$K$109,0),1),#N/A)</f>
        <v>#N/A</v>
      </c>
    </row>
    <row r="1623" spans="2:6" x14ac:dyDescent="0.2">
      <c r="B1623" s="6">
        <f t="shared" si="29"/>
        <v>1620</v>
      </c>
      <c r="C1623" s="81" t="e">
        <f ca="1">VLOOKUP(B1623,Calc!$K$66:$L$76,2,FALSE)</f>
        <v>#N/A</v>
      </c>
      <c r="D1623" s="81" t="e">
        <f ca="1">VLOOKUP(B1623,Calc!$K$77:$L$87,2,FALSE)</f>
        <v>#N/A</v>
      </c>
      <c r="E1623" s="523" t="e">
        <f ca="1">VLOOKUP(B1623,Calc!$K$88:$L$98,2,FALSE)</f>
        <v>#N/A</v>
      </c>
      <c r="F1623" s="523" t="e">
        <f ca="1">IF(Errorhandling!$C$42,INDEX(Calc!$J$99:$J$109,MATCH(Display!B1623,Calc!$K$99:$K$109,0),1),#N/A)</f>
        <v>#N/A</v>
      </c>
    </row>
    <row r="1624" spans="2:6" x14ac:dyDescent="0.2">
      <c r="B1624" s="6">
        <f t="shared" si="29"/>
        <v>1621</v>
      </c>
      <c r="C1624" s="81" t="e">
        <f ca="1">VLOOKUP(B1624,Calc!$K$66:$L$76,2,FALSE)</f>
        <v>#N/A</v>
      </c>
      <c r="D1624" s="81" t="e">
        <f ca="1">VLOOKUP(B1624,Calc!$K$77:$L$87,2,FALSE)</f>
        <v>#N/A</v>
      </c>
      <c r="E1624" s="523" t="e">
        <f ca="1">VLOOKUP(B1624,Calc!$K$88:$L$98,2,FALSE)</f>
        <v>#N/A</v>
      </c>
      <c r="F1624" s="523" t="e">
        <f ca="1">IF(Errorhandling!$C$42,INDEX(Calc!$J$99:$J$109,MATCH(Display!B1624,Calc!$K$99:$K$109,0),1),#N/A)</f>
        <v>#N/A</v>
      </c>
    </row>
    <row r="1625" spans="2:6" x14ac:dyDescent="0.2">
      <c r="B1625" s="6">
        <f t="shared" si="29"/>
        <v>1622</v>
      </c>
      <c r="C1625" s="81" t="e">
        <f ca="1">VLOOKUP(B1625,Calc!$K$66:$L$76,2,FALSE)</f>
        <v>#N/A</v>
      </c>
      <c r="D1625" s="81" t="e">
        <f ca="1">VLOOKUP(B1625,Calc!$K$77:$L$87,2,FALSE)</f>
        <v>#N/A</v>
      </c>
      <c r="E1625" s="523" t="e">
        <f ca="1">VLOOKUP(B1625,Calc!$K$88:$L$98,2,FALSE)</f>
        <v>#N/A</v>
      </c>
      <c r="F1625" s="523" t="e">
        <f ca="1">IF(Errorhandling!$C$42,INDEX(Calc!$J$99:$J$109,MATCH(Display!B1625,Calc!$K$99:$K$109,0),1),#N/A)</f>
        <v>#N/A</v>
      </c>
    </row>
    <row r="1626" spans="2:6" x14ac:dyDescent="0.2">
      <c r="B1626" s="6">
        <f t="shared" si="29"/>
        <v>1623</v>
      </c>
      <c r="C1626" s="81" t="e">
        <f ca="1">VLOOKUP(B1626,Calc!$K$66:$L$76,2,FALSE)</f>
        <v>#N/A</v>
      </c>
      <c r="D1626" s="81" t="e">
        <f ca="1">VLOOKUP(B1626,Calc!$K$77:$L$87,2,FALSE)</f>
        <v>#N/A</v>
      </c>
      <c r="E1626" s="523" t="e">
        <f ca="1">VLOOKUP(B1626,Calc!$K$88:$L$98,2,FALSE)</f>
        <v>#N/A</v>
      </c>
      <c r="F1626" s="523" t="e">
        <f ca="1">IF(Errorhandling!$C$42,INDEX(Calc!$J$99:$J$109,MATCH(Display!B1626,Calc!$K$99:$K$109,0),1),#N/A)</f>
        <v>#N/A</v>
      </c>
    </row>
    <row r="1627" spans="2:6" x14ac:dyDescent="0.2">
      <c r="B1627" s="6">
        <f t="shared" si="29"/>
        <v>1624</v>
      </c>
      <c r="C1627" s="81" t="e">
        <f ca="1">VLOOKUP(B1627,Calc!$K$66:$L$76,2,FALSE)</f>
        <v>#N/A</v>
      </c>
      <c r="D1627" s="81" t="e">
        <f ca="1">VLOOKUP(B1627,Calc!$K$77:$L$87,2,FALSE)</f>
        <v>#N/A</v>
      </c>
      <c r="E1627" s="523" t="e">
        <f ca="1">VLOOKUP(B1627,Calc!$K$88:$L$98,2,FALSE)</f>
        <v>#N/A</v>
      </c>
      <c r="F1627" s="523" t="e">
        <f ca="1">IF(Errorhandling!$C$42,INDEX(Calc!$J$99:$J$109,MATCH(Display!B1627,Calc!$K$99:$K$109,0),1),#N/A)</f>
        <v>#N/A</v>
      </c>
    </row>
    <row r="1628" spans="2:6" x14ac:dyDescent="0.2">
      <c r="B1628" s="6">
        <f t="shared" si="29"/>
        <v>1625</v>
      </c>
      <c r="C1628" s="81" t="e">
        <f ca="1">VLOOKUP(B1628,Calc!$K$66:$L$76,2,FALSE)</f>
        <v>#N/A</v>
      </c>
      <c r="D1628" s="81" t="e">
        <f ca="1">VLOOKUP(B1628,Calc!$K$77:$L$87,2,FALSE)</f>
        <v>#N/A</v>
      </c>
      <c r="E1628" s="523" t="e">
        <f ca="1">VLOOKUP(B1628,Calc!$K$88:$L$98,2,FALSE)</f>
        <v>#N/A</v>
      </c>
      <c r="F1628" s="523" t="e">
        <f ca="1">IF(Errorhandling!$C$42,INDEX(Calc!$J$99:$J$109,MATCH(Display!B1628,Calc!$K$99:$K$109,0),1),#N/A)</f>
        <v>#N/A</v>
      </c>
    </row>
    <row r="1629" spans="2:6" x14ac:dyDescent="0.2">
      <c r="B1629" s="6">
        <f t="shared" si="29"/>
        <v>1626</v>
      </c>
      <c r="C1629" s="81" t="e">
        <f ca="1">VLOOKUP(B1629,Calc!$K$66:$L$76,2,FALSE)</f>
        <v>#N/A</v>
      </c>
      <c r="D1629" s="81" t="e">
        <f ca="1">VLOOKUP(B1629,Calc!$K$77:$L$87,2,FALSE)</f>
        <v>#N/A</v>
      </c>
      <c r="E1629" s="523" t="e">
        <f ca="1">VLOOKUP(B1629,Calc!$K$88:$L$98,2,FALSE)</f>
        <v>#N/A</v>
      </c>
      <c r="F1629" s="523" t="e">
        <f ca="1">IF(Errorhandling!$C$42,INDEX(Calc!$J$99:$J$109,MATCH(Display!B1629,Calc!$K$99:$K$109,0),1),#N/A)</f>
        <v>#N/A</v>
      </c>
    </row>
    <row r="1630" spans="2:6" x14ac:dyDescent="0.2">
      <c r="B1630" s="6">
        <f t="shared" si="29"/>
        <v>1627</v>
      </c>
      <c r="C1630" s="81" t="e">
        <f ca="1">VLOOKUP(B1630,Calc!$K$66:$L$76,2,FALSE)</f>
        <v>#N/A</v>
      </c>
      <c r="D1630" s="81" t="e">
        <f ca="1">VLOOKUP(B1630,Calc!$K$77:$L$87,2,FALSE)</f>
        <v>#N/A</v>
      </c>
      <c r="E1630" s="523" t="e">
        <f ca="1">VLOOKUP(B1630,Calc!$K$88:$L$98,2,FALSE)</f>
        <v>#N/A</v>
      </c>
      <c r="F1630" s="523" t="e">
        <f ca="1">IF(Errorhandling!$C$42,INDEX(Calc!$J$99:$J$109,MATCH(Display!B1630,Calc!$K$99:$K$109,0),1),#N/A)</f>
        <v>#N/A</v>
      </c>
    </row>
    <row r="1631" spans="2:6" x14ac:dyDescent="0.2">
      <c r="B1631" s="6">
        <f t="shared" si="29"/>
        <v>1628</v>
      </c>
      <c r="C1631" s="81" t="e">
        <f ca="1">VLOOKUP(B1631,Calc!$K$66:$L$76,2,FALSE)</f>
        <v>#N/A</v>
      </c>
      <c r="D1631" s="81" t="e">
        <f ca="1">VLOOKUP(B1631,Calc!$K$77:$L$87,2,FALSE)</f>
        <v>#N/A</v>
      </c>
      <c r="E1631" s="523" t="e">
        <f ca="1">VLOOKUP(B1631,Calc!$K$88:$L$98,2,FALSE)</f>
        <v>#N/A</v>
      </c>
      <c r="F1631" s="523" t="e">
        <f ca="1">IF(Errorhandling!$C$42,INDEX(Calc!$J$99:$J$109,MATCH(Display!B1631,Calc!$K$99:$K$109,0),1),#N/A)</f>
        <v>#N/A</v>
      </c>
    </row>
    <row r="1632" spans="2:6" x14ac:dyDescent="0.2">
      <c r="B1632" s="6">
        <f t="shared" si="29"/>
        <v>1629</v>
      </c>
      <c r="C1632" s="81" t="e">
        <f ca="1">VLOOKUP(B1632,Calc!$K$66:$L$76,2,FALSE)</f>
        <v>#N/A</v>
      </c>
      <c r="D1632" s="81" t="e">
        <f ca="1">VLOOKUP(B1632,Calc!$K$77:$L$87,2,FALSE)</f>
        <v>#N/A</v>
      </c>
      <c r="E1632" s="523" t="e">
        <f ca="1">VLOOKUP(B1632,Calc!$K$88:$L$98,2,FALSE)</f>
        <v>#N/A</v>
      </c>
      <c r="F1632" s="523" t="e">
        <f ca="1">IF(Errorhandling!$C$42,INDEX(Calc!$J$99:$J$109,MATCH(Display!B1632,Calc!$K$99:$K$109,0),1),#N/A)</f>
        <v>#N/A</v>
      </c>
    </row>
    <row r="1633" spans="2:6" x14ac:dyDescent="0.2">
      <c r="B1633" s="6">
        <f t="shared" si="29"/>
        <v>1630</v>
      </c>
      <c r="C1633" s="81" t="e">
        <f ca="1">VLOOKUP(B1633,Calc!$K$66:$L$76,2,FALSE)</f>
        <v>#N/A</v>
      </c>
      <c r="D1633" s="81" t="e">
        <f ca="1">VLOOKUP(B1633,Calc!$K$77:$L$87,2,FALSE)</f>
        <v>#N/A</v>
      </c>
      <c r="E1633" s="523" t="e">
        <f ca="1">VLOOKUP(B1633,Calc!$K$88:$L$98,2,FALSE)</f>
        <v>#N/A</v>
      </c>
      <c r="F1633" s="523" t="e">
        <f ca="1">IF(Errorhandling!$C$42,INDEX(Calc!$J$99:$J$109,MATCH(Display!B1633,Calc!$K$99:$K$109,0),1),#N/A)</f>
        <v>#N/A</v>
      </c>
    </row>
    <row r="1634" spans="2:6" x14ac:dyDescent="0.2">
      <c r="B1634" s="6">
        <f t="shared" si="29"/>
        <v>1631</v>
      </c>
      <c r="C1634" s="81" t="e">
        <f ca="1">VLOOKUP(B1634,Calc!$K$66:$L$76,2,FALSE)</f>
        <v>#N/A</v>
      </c>
      <c r="D1634" s="81" t="e">
        <f ca="1">VLOOKUP(B1634,Calc!$K$77:$L$87,2,FALSE)</f>
        <v>#N/A</v>
      </c>
      <c r="E1634" s="523" t="e">
        <f ca="1">VLOOKUP(B1634,Calc!$K$88:$L$98,2,FALSE)</f>
        <v>#N/A</v>
      </c>
      <c r="F1634" s="523" t="e">
        <f ca="1">IF(Errorhandling!$C$42,INDEX(Calc!$J$99:$J$109,MATCH(Display!B1634,Calc!$K$99:$K$109,0),1),#N/A)</f>
        <v>#N/A</v>
      </c>
    </row>
    <row r="1635" spans="2:6" x14ac:dyDescent="0.2">
      <c r="B1635" s="6">
        <f t="shared" si="29"/>
        <v>1632</v>
      </c>
      <c r="C1635" s="81" t="e">
        <f ca="1">VLOOKUP(B1635,Calc!$K$66:$L$76,2,FALSE)</f>
        <v>#N/A</v>
      </c>
      <c r="D1635" s="81" t="e">
        <f ca="1">VLOOKUP(B1635,Calc!$K$77:$L$87,2,FALSE)</f>
        <v>#N/A</v>
      </c>
      <c r="E1635" s="523" t="e">
        <f ca="1">VLOOKUP(B1635,Calc!$K$88:$L$98,2,FALSE)</f>
        <v>#N/A</v>
      </c>
      <c r="F1635" s="523" t="e">
        <f ca="1">IF(Errorhandling!$C$42,INDEX(Calc!$J$99:$J$109,MATCH(Display!B1635,Calc!$K$99:$K$109,0),1),#N/A)</f>
        <v>#N/A</v>
      </c>
    </row>
    <row r="1636" spans="2:6" x14ac:dyDescent="0.2">
      <c r="B1636" s="6">
        <f t="shared" si="29"/>
        <v>1633</v>
      </c>
      <c r="C1636" s="81" t="e">
        <f ca="1">VLOOKUP(B1636,Calc!$K$66:$L$76,2,FALSE)</f>
        <v>#N/A</v>
      </c>
      <c r="D1636" s="81" t="e">
        <f ca="1">VLOOKUP(B1636,Calc!$K$77:$L$87,2,FALSE)</f>
        <v>#N/A</v>
      </c>
      <c r="E1636" s="523" t="e">
        <f ca="1">VLOOKUP(B1636,Calc!$K$88:$L$98,2,FALSE)</f>
        <v>#N/A</v>
      </c>
      <c r="F1636" s="523" t="e">
        <f ca="1">IF(Errorhandling!$C$42,INDEX(Calc!$J$99:$J$109,MATCH(Display!B1636,Calc!$K$99:$K$109,0),1),#N/A)</f>
        <v>#N/A</v>
      </c>
    </row>
    <row r="1637" spans="2:6" x14ac:dyDescent="0.2">
      <c r="B1637" s="6">
        <f t="shared" si="29"/>
        <v>1634</v>
      </c>
      <c r="C1637" s="81" t="e">
        <f ca="1">VLOOKUP(B1637,Calc!$K$66:$L$76,2,FALSE)</f>
        <v>#N/A</v>
      </c>
      <c r="D1637" s="81" t="e">
        <f ca="1">VLOOKUP(B1637,Calc!$K$77:$L$87,2,FALSE)</f>
        <v>#N/A</v>
      </c>
      <c r="E1637" s="523" t="e">
        <f ca="1">VLOOKUP(B1637,Calc!$K$88:$L$98,2,FALSE)</f>
        <v>#N/A</v>
      </c>
      <c r="F1637" s="523" t="e">
        <f ca="1">IF(Errorhandling!$C$42,INDEX(Calc!$J$99:$J$109,MATCH(Display!B1637,Calc!$K$99:$K$109,0),1),#N/A)</f>
        <v>#N/A</v>
      </c>
    </row>
    <row r="1638" spans="2:6" x14ac:dyDescent="0.2">
      <c r="B1638" s="6">
        <f t="shared" si="29"/>
        <v>1635</v>
      </c>
      <c r="C1638" s="81" t="e">
        <f ca="1">VLOOKUP(B1638,Calc!$K$66:$L$76,2,FALSE)</f>
        <v>#N/A</v>
      </c>
      <c r="D1638" s="81" t="e">
        <f ca="1">VLOOKUP(B1638,Calc!$K$77:$L$87,2,FALSE)</f>
        <v>#N/A</v>
      </c>
      <c r="E1638" s="523" t="e">
        <f ca="1">VLOOKUP(B1638,Calc!$K$88:$L$98,2,FALSE)</f>
        <v>#N/A</v>
      </c>
      <c r="F1638" s="523" t="e">
        <f ca="1">IF(Errorhandling!$C$42,INDEX(Calc!$J$99:$J$109,MATCH(Display!B1638,Calc!$K$99:$K$109,0),1),#N/A)</f>
        <v>#N/A</v>
      </c>
    </row>
    <row r="1639" spans="2:6" x14ac:dyDescent="0.2">
      <c r="B1639" s="6">
        <f t="shared" si="29"/>
        <v>1636</v>
      </c>
      <c r="C1639" s="81" t="e">
        <f ca="1">VLOOKUP(B1639,Calc!$K$66:$L$76,2,FALSE)</f>
        <v>#N/A</v>
      </c>
      <c r="D1639" s="81" t="e">
        <f ca="1">VLOOKUP(B1639,Calc!$K$77:$L$87,2,FALSE)</f>
        <v>#N/A</v>
      </c>
      <c r="E1639" s="523" t="e">
        <f ca="1">VLOOKUP(B1639,Calc!$K$88:$L$98,2,FALSE)</f>
        <v>#N/A</v>
      </c>
      <c r="F1639" s="523" t="e">
        <f ca="1">IF(Errorhandling!$C$42,INDEX(Calc!$J$99:$J$109,MATCH(Display!B1639,Calc!$K$99:$K$109,0),1),#N/A)</f>
        <v>#N/A</v>
      </c>
    </row>
    <row r="1640" spans="2:6" x14ac:dyDescent="0.2">
      <c r="B1640" s="6">
        <f t="shared" si="29"/>
        <v>1637</v>
      </c>
      <c r="C1640" s="81" t="e">
        <f ca="1">VLOOKUP(B1640,Calc!$K$66:$L$76,2,FALSE)</f>
        <v>#N/A</v>
      </c>
      <c r="D1640" s="81" t="e">
        <f ca="1">VLOOKUP(B1640,Calc!$K$77:$L$87,2,FALSE)</f>
        <v>#N/A</v>
      </c>
      <c r="E1640" s="523" t="e">
        <f ca="1">VLOOKUP(B1640,Calc!$K$88:$L$98,2,FALSE)</f>
        <v>#N/A</v>
      </c>
      <c r="F1640" s="523" t="e">
        <f ca="1">IF(Errorhandling!$C$42,INDEX(Calc!$J$99:$J$109,MATCH(Display!B1640,Calc!$K$99:$K$109,0),1),#N/A)</f>
        <v>#N/A</v>
      </c>
    </row>
    <row r="1641" spans="2:6" x14ac:dyDescent="0.2">
      <c r="B1641" s="6">
        <f t="shared" si="29"/>
        <v>1638</v>
      </c>
      <c r="C1641" s="81" t="e">
        <f ca="1">VLOOKUP(B1641,Calc!$K$66:$L$76,2,FALSE)</f>
        <v>#N/A</v>
      </c>
      <c r="D1641" s="81" t="e">
        <f ca="1">VLOOKUP(B1641,Calc!$K$77:$L$87,2,FALSE)</f>
        <v>#N/A</v>
      </c>
      <c r="E1641" s="523" t="e">
        <f ca="1">VLOOKUP(B1641,Calc!$K$88:$L$98,2,FALSE)</f>
        <v>#N/A</v>
      </c>
      <c r="F1641" s="523" t="e">
        <f ca="1">IF(Errorhandling!$C$42,INDEX(Calc!$J$99:$J$109,MATCH(Display!B1641,Calc!$K$99:$K$109,0),1),#N/A)</f>
        <v>#N/A</v>
      </c>
    </row>
    <row r="1642" spans="2:6" x14ac:dyDescent="0.2">
      <c r="B1642" s="6">
        <f t="shared" si="29"/>
        <v>1639</v>
      </c>
      <c r="C1642" s="81" t="e">
        <f ca="1">VLOOKUP(B1642,Calc!$K$66:$L$76,2,FALSE)</f>
        <v>#N/A</v>
      </c>
      <c r="D1642" s="81" t="e">
        <f ca="1">VLOOKUP(B1642,Calc!$K$77:$L$87,2,FALSE)</f>
        <v>#N/A</v>
      </c>
      <c r="E1642" s="523" t="e">
        <f ca="1">VLOOKUP(B1642,Calc!$K$88:$L$98,2,FALSE)</f>
        <v>#N/A</v>
      </c>
      <c r="F1642" s="523" t="e">
        <f ca="1">IF(Errorhandling!$C$42,INDEX(Calc!$J$99:$J$109,MATCH(Display!B1642,Calc!$K$99:$K$109,0),1),#N/A)</f>
        <v>#N/A</v>
      </c>
    </row>
    <row r="1643" spans="2:6" x14ac:dyDescent="0.2">
      <c r="B1643" s="6">
        <f t="shared" si="29"/>
        <v>1640</v>
      </c>
      <c r="C1643" s="81" t="e">
        <f ca="1">VLOOKUP(B1643,Calc!$K$66:$L$76,2,FALSE)</f>
        <v>#N/A</v>
      </c>
      <c r="D1643" s="81" t="e">
        <f ca="1">VLOOKUP(B1643,Calc!$K$77:$L$87,2,FALSE)</f>
        <v>#N/A</v>
      </c>
      <c r="E1643" s="523" t="e">
        <f ca="1">VLOOKUP(B1643,Calc!$K$88:$L$98,2,FALSE)</f>
        <v>#N/A</v>
      </c>
      <c r="F1643" s="523" t="e">
        <f ca="1">IF(Errorhandling!$C$42,INDEX(Calc!$J$99:$J$109,MATCH(Display!B1643,Calc!$K$99:$K$109,0),1),#N/A)</f>
        <v>#N/A</v>
      </c>
    </row>
    <row r="1644" spans="2:6" x14ac:dyDescent="0.2">
      <c r="B1644" s="6">
        <f t="shared" si="29"/>
        <v>1641</v>
      </c>
      <c r="C1644" s="81" t="e">
        <f ca="1">VLOOKUP(B1644,Calc!$K$66:$L$76,2,FALSE)</f>
        <v>#N/A</v>
      </c>
      <c r="D1644" s="81" t="e">
        <f ca="1">VLOOKUP(B1644,Calc!$K$77:$L$87,2,FALSE)</f>
        <v>#N/A</v>
      </c>
      <c r="E1644" s="523" t="e">
        <f ca="1">VLOOKUP(B1644,Calc!$K$88:$L$98,2,FALSE)</f>
        <v>#N/A</v>
      </c>
      <c r="F1644" s="523" t="e">
        <f ca="1">IF(Errorhandling!$C$42,INDEX(Calc!$J$99:$J$109,MATCH(Display!B1644,Calc!$K$99:$K$109,0),1),#N/A)</f>
        <v>#N/A</v>
      </c>
    </row>
    <row r="1645" spans="2:6" x14ac:dyDescent="0.2">
      <c r="B1645" s="6">
        <f t="shared" si="29"/>
        <v>1642</v>
      </c>
      <c r="C1645" s="81" t="e">
        <f ca="1">VLOOKUP(B1645,Calc!$K$66:$L$76,2,FALSE)</f>
        <v>#N/A</v>
      </c>
      <c r="D1645" s="81" t="e">
        <f ca="1">VLOOKUP(B1645,Calc!$K$77:$L$87,2,FALSE)</f>
        <v>#N/A</v>
      </c>
      <c r="E1645" s="523" t="e">
        <f ca="1">VLOOKUP(B1645,Calc!$K$88:$L$98,2,FALSE)</f>
        <v>#N/A</v>
      </c>
      <c r="F1645" s="523" t="e">
        <f ca="1">IF(Errorhandling!$C$42,INDEX(Calc!$J$99:$J$109,MATCH(Display!B1645,Calc!$K$99:$K$109,0),1),#N/A)</f>
        <v>#N/A</v>
      </c>
    </row>
    <row r="1646" spans="2:6" x14ac:dyDescent="0.2">
      <c r="B1646" s="6">
        <f t="shared" si="29"/>
        <v>1643</v>
      </c>
      <c r="C1646" s="81" t="e">
        <f ca="1">VLOOKUP(B1646,Calc!$K$66:$L$76,2,FALSE)</f>
        <v>#N/A</v>
      </c>
      <c r="D1646" s="81" t="e">
        <f ca="1">VLOOKUP(B1646,Calc!$K$77:$L$87,2,FALSE)</f>
        <v>#N/A</v>
      </c>
      <c r="E1646" s="523" t="e">
        <f ca="1">VLOOKUP(B1646,Calc!$K$88:$L$98,2,FALSE)</f>
        <v>#N/A</v>
      </c>
      <c r="F1646" s="523" t="e">
        <f ca="1">IF(Errorhandling!$C$42,INDEX(Calc!$J$99:$J$109,MATCH(Display!B1646,Calc!$K$99:$K$109,0),1),#N/A)</f>
        <v>#N/A</v>
      </c>
    </row>
    <row r="1647" spans="2:6" x14ac:dyDescent="0.2">
      <c r="B1647" s="6">
        <f t="shared" si="29"/>
        <v>1644</v>
      </c>
      <c r="C1647" s="81" t="e">
        <f ca="1">VLOOKUP(B1647,Calc!$K$66:$L$76,2,FALSE)</f>
        <v>#N/A</v>
      </c>
      <c r="D1647" s="81" t="e">
        <f ca="1">VLOOKUP(B1647,Calc!$K$77:$L$87,2,FALSE)</f>
        <v>#N/A</v>
      </c>
      <c r="E1647" s="523" t="e">
        <f ca="1">VLOOKUP(B1647,Calc!$K$88:$L$98,2,FALSE)</f>
        <v>#N/A</v>
      </c>
      <c r="F1647" s="523" t="e">
        <f ca="1">IF(Errorhandling!$C$42,INDEX(Calc!$J$99:$J$109,MATCH(Display!B1647,Calc!$K$99:$K$109,0),1),#N/A)</f>
        <v>#N/A</v>
      </c>
    </row>
    <row r="1648" spans="2:6" x14ac:dyDescent="0.2">
      <c r="B1648" s="6">
        <f t="shared" si="29"/>
        <v>1645</v>
      </c>
      <c r="C1648" s="81" t="e">
        <f ca="1">VLOOKUP(B1648,Calc!$K$66:$L$76,2,FALSE)</f>
        <v>#N/A</v>
      </c>
      <c r="D1648" s="81" t="e">
        <f ca="1">VLOOKUP(B1648,Calc!$K$77:$L$87,2,FALSE)</f>
        <v>#N/A</v>
      </c>
      <c r="E1648" s="523" t="e">
        <f ca="1">VLOOKUP(B1648,Calc!$K$88:$L$98,2,FALSE)</f>
        <v>#N/A</v>
      </c>
      <c r="F1648" s="523" t="e">
        <f ca="1">IF(Errorhandling!$C$42,INDEX(Calc!$J$99:$J$109,MATCH(Display!B1648,Calc!$K$99:$K$109,0),1),#N/A)</f>
        <v>#N/A</v>
      </c>
    </row>
    <row r="1649" spans="2:6" x14ac:dyDescent="0.2">
      <c r="B1649" s="6">
        <f t="shared" si="29"/>
        <v>1646</v>
      </c>
      <c r="C1649" s="81" t="e">
        <f ca="1">VLOOKUP(B1649,Calc!$K$66:$L$76,2,FALSE)</f>
        <v>#N/A</v>
      </c>
      <c r="D1649" s="81" t="e">
        <f ca="1">VLOOKUP(B1649,Calc!$K$77:$L$87,2,FALSE)</f>
        <v>#N/A</v>
      </c>
      <c r="E1649" s="523" t="e">
        <f ca="1">VLOOKUP(B1649,Calc!$K$88:$L$98,2,FALSE)</f>
        <v>#N/A</v>
      </c>
      <c r="F1649" s="523" t="e">
        <f ca="1">IF(Errorhandling!$C$42,INDEX(Calc!$J$99:$J$109,MATCH(Display!B1649,Calc!$K$99:$K$109,0),1),#N/A)</f>
        <v>#N/A</v>
      </c>
    </row>
    <row r="1650" spans="2:6" x14ac:dyDescent="0.2">
      <c r="B1650" s="6">
        <f t="shared" si="29"/>
        <v>1647</v>
      </c>
      <c r="C1650" s="81" t="e">
        <f ca="1">VLOOKUP(B1650,Calc!$K$66:$L$76,2,FALSE)</f>
        <v>#N/A</v>
      </c>
      <c r="D1650" s="81" t="e">
        <f ca="1">VLOOKUP(B1650,Calc!$K$77:$L$87,2,FALSE)</f>
        <v>#N/A</v>
      </c>
      <c r="E1650" s="523" t="e">
        <f ca="1">VLOOKUP(B1650,Calc!$K$88:$L$98,2,FALSE)</f>
        <v>#N/A</v>
      </c>
      <c r="F1650" s="523" t="e">
        <f ca="1">IF(Errorhandling!$C$42,INDEX(Calc!$J$99:$J$109,MATCH(Display!B1650,Calc!$K$99:$K$109,0),1),#N/A)</f>
        <v>#N/A</v>
      </c>
    </row>
    <row r="1651" spans="2:6" x14ac:dyDescent="0.2">
      <c r="B1651" s="6">
        <f t="shared" si="29"/>
        <v>1648</v>
      </c>
      <c r="C1651" s="81" t="e">
        <f ca="1">VLOOKUP(B1651,Calc!$K$66:$L$76,2,FALSE)</f>
        <v>#N/A</v>
      </c>
      <c r="D1651" s="81" t="e">
        <f ca="1">VLOOKUP(B1651,Calc!$K$77:$L$87,2,FALSE)</f>
        <v>#N/A</v>
      </c>
      <c r="E1651" s="523" t="e">
        <f ca="1">VLOOKUP(B1651,Calc!$K$88:$L$98,2,FALSE)</f>
        <v>#N/A</v>
      </c>
      <c r="F1651" s="523" t="e">
        <f ca="1">IF(Errorhandling!$C$42,INDEX(Calc!$J$99:$J$109,MATCH(Display!B1651,Calc!$K$99:$K$109,0),1),#N/A)</f>
        <v>#N/A</v>
      </c>
    </row>
    <row r="1652" spans="2:6" x14ac:dyDescent="0.2">
      <c r="B1652" s="6">
        <f t="shared" si="29"/>
        <v>1649</v>
      </c>
      <c r="C1652" s="81" t="e">
        <f ca="1">VLOOKUP(B1652,Calc!$K$66:$L$76,2,FALSE)</f>
        <v>#N/A</v>
      </c>
      <c r="D1652" s="81" t="e">
        <f ca="1">VLOOKUP(B1652,Calc!$K$77:$L$87,2,FALSE)</f>
        <v>#N/A</v>
      </c>
      <c r="E1652" s="523" t="e">
        <f ca="1">VLOOKUP(B1652,Calc!$K$88:$L$98,2,FALSE)</f>
        <v>#N/A</v>
      </c>
      <c r="F1652" s="523" t="e">
        <f ca="1">IF(Errorhandling!$C$42,INDEX(Calc!$J$99:$J$109,MATCH(Display!B1652,Calc!$K$99:$K$109,0),1),#N/A)</f>
        <v>#N/A</v>
      </c>
    </row>
    <row r="1653" spans="2:6" x14ac:dyDescent="0.2">
      <c r="B1653" s="6">
        <f t="shared" si="29"/>
        <v>1650</v>
      </c>
      <c r="C1653" s="81" t="e">
        <f ca="1">VLOOKUP(B1653,Calc!$K$66:$L$76,2,FALSE)</f>
        <v>#N/A</v>
      </c>
      <c r="D1653" s="81" t="e">
        <f ca="1">VLOOKUP(B1653,Calc!$K$77:$L$87,2,FALSE)</f>
        <v>#N/A</v>
      </c>
      <c r="E1653" s="523" t="e">
        <f ca="1">VLOOKUP(B1653,Calc!$K$88:$L$98,2,FALSE)</f>
        <v>#N/A</v>
      </c>
      <c r="F1653" s="523" t="e">
        <f ca="1">IF(Errorhandling!$C$42,INDEX(Calc!$J$99:$J$109,MATCH(Display!B1653,Calc!$K$99:$K$109,0),1),#N/A)</f>
        <v>#N/A</v>
      </c>
    </row>
    <row r="1654" spans="2:6" x14ac:dyDescent="0.2">
      <c r="B1654" s="6">
        <f t="shared" si="29"/>
        <v>1651</v>
      </c>
      <c r="C1654" s="81" t="e">
        <f ca="1">VLOOKUP(B1654,Calc!$K$66:$L$76,2,FALSE)</f>
        <v>#N/A</v>
      </c>
      <c r="D1654" s="81" t="e">
        <f ca="1">VLOOKUP(B1654,Calc!$K$77:$L$87,2,FALSE)</f>
        <v>#N/A</v>
      </c>
      <c r="E1654" s="523" t="e">
        <f ca="1">VLOOKUP(B1654,Calc!$K$88:$L$98,2,FALSE)</f>
        <v>#N/A</v>
      </c>
      <c r="F1654" s="523" t="e">
        <f ca="1">IF(Errorhandling!$C$42,INDEX(Calc!$J$99:$J$109,MATCH(Display!B1654,Calc!$K$99:$K$109,0),1),#N/A)</f>
        <v>#N/A</v>
      </c>
    </row>
    <row r="1655" spans="2:6" x14ac:dyDescent="0.2">
      <c r="B1655" s="6">
        <f t="shared" si="29"/>
        <v>1652</v>
      </c>
      <c r="C1655" s="81" t="e">
        <f ca="1">VLOOKUP(B1655,Calc!$K$66:$L$76,2,FALSE)</f>
        <v>#N/A</v>
      </c>
      <c r="D1655" s="81" t="e">
        <f ca="1">VLOOKUP(B1655,Calc!$K$77:$L$87,2,FALSE)</f>
        <v>#N/A</v>
      </c>
      <c r="E1655" s="523" t="e">
        <f ca="1">VLOOKUP(B1655,Calc!$K$88:$L$98,2,FALSE)</f>
        <v>#N/A</v>
      </c>
      <c r="F1655" s="523" t="e">
        <f ca="1">IF(Errorhandling!$C$42,INDEX(Calc!$J$99:$J$109,MATCH(Display!B1655,Calc!$K$99:$K$109,0),1),#N/A)</f>
        <v>#N/A</v>
      </c>
    </row>
    <row r="1656" spans="2:6" x14ac:dyDescent="0.2">
      <c r="B1656" s="6">
        <f t="shared" si="29"/>
        <v>1653</v>
      </c>
      <c r="C1656" s="81" t="e">
        <f ca="1">VLOOKUP(B1656,Calc!$K$66:$L$76,2,FALSE)</f>
        <v>#N/A</v>
      </c>
      <c r="D1656" s="81" t="e">
        <f ca="1">VLOOKUP(B1656,Calc!$K$77:$L$87,2,FALSE)</f>
        <v>#N/A</v>
      </c>
      <c r="E1656" s="523" t="e">
        <f ca="1">VLOOKUP(B1656,Calc!$K$88:$L$98,2,FALSE)</f>
        <v>#N/A</v>
      </c>
      <c r="F1656" s="523" t="e">
        <f ca="1">IF(Errorhandling!$C$42,INDEX(Calc!$J$99:$J$109,MATCH(Display!B1656,Calc!$K$99:$K$109,0),1),#N/A)</f>
        <v>#N/A</v>
      </c>
    </row>
    <row r="1657" spans="2:6" x14ac:dyDescent="0.2">
      <c r="B1657" s="6">
        <f t="shared" si="29"/>
        <v>1654</v>
      </c>
      <c r="C1657" s="81" t="e">
        <f ca="1">VLOOKUP(B1657,Calc!$K$66:$L$76,2,FALSE)</f>
        <v>#N/A</v>
      </c>
      <c r="D1657" s="81" t="e">
        <f ca="1">VLOOKUP(B1657,Calc!$K$77:$L$87,2,FALSE)</f>
        <v>#N/A</v>
      </c>
      <c r="E1657" s="523" t="e">
        <f ca="1">VLOOKUP(B1657,Calc!$K$88:$L$98,2,FALSE)</f>
        <v>#N/A</v>
      </c>
      <c r="F1657" s="523" t="e">
        <f ca="1">IF(Errorhandling!$C$42,INDEX(Calc!$J$99:$J$109,MATCH(Display!B1657,Calc!$K$99:$K$109,0),1),#N/A)</f>
        <v>#N/A</v>
      </c>
    </row>
    <row r="1658" spans="2:6" x14ac:dyDescent="0.2">
      <c r="B1658" s="6">
        <f t="shared" si="29"/>
        <v>1655</v>
      </c>
      <c r="C1658" s="81" t="e">
        <f ca="1">VLOOKUP(B1658,Calc!$K$66:$L$76,2,FALSE)</f>
        <v>#N/A</v>
      </c>
      <c r="D1658" s="81" t="e">
        <f ca="1">VLOOKUP(B1658,Calc!$K$77:$L$87,2,FALSE)</f>
        <v>#N/A</v>
      </c>
      <c r="E1658" s="523" t="e">
        <f ca="1">VLOOKUP(B1658,Calc!$K$88:$L$98,2,FALSE)</f>
        <v>#N/A</v>
      </c>
      <c r="F1658" s="523" t="e">
        <f ca="1">IF(Errorhandling!$C$42,INDEX(Calc!$J$99:$J$109,MATCH(Display!B1658,Calc!$K$99:$K$109,0),1),#N/A)</f>
        <v>#N/A</v>
      </c>
    </row>
    <row r="1659" spans="2:6" x14ac:dyDescent="0.2">
      <c r="B1659" s="6">
        <f t="shared" si="29"/>
        <v>1656</v>
      </c>
      <c r="C1659" s="81" t="e">
        <f ca="1">VLOOKUP(B1659,Calc!$K$66:$L$76,2,FALSE)</f>
        <v>#N/A</v>
      </c>
      <c r="D1659" s="81" t="e">
        <f ca="1">VLOOKUP(B1659,Calc!$K$77:$L$87,2,FALSE)</f>
        <v>#N/A</v>
      </c>
      <c r="E1659" s="523" t="e">
        <f ca="1">VLOOKUP(B1659,Calc!$K$88:$L$98,2,FALSE)</f>
        <v>#N/A</v>
      </c>
      <c r="F1659" s="523" t="e">
        <f ca="1">IF(Errorhandling!$C$42,INDEX(Calc!$J$99:$J$109,MATCH(Display!B1659,Calc!$K$99:$K$109,0),1),#N/A)</f>
        <v>#N/A</v>
      </c>
    </row>
    <row r="1660" spans="2:6" x14ac:dyDescent="0.2">
      <c r="B1660" s="6">
        <f t="shared" si="29"/>
        <v>1657</v>
      </c>
      <c r="C1660" s="81" t="e">
        <f ca="1">VLOOKUP(B1660,Calc!$K$66:$L$76,2,FALSE)</f>
        <v>#N/A</v>
      </c>
      <c r="D1660" s="81" t="e">
        <f ca="1">VLOOKUP(B1660,Calc!$K$77:$L$87,2,FALSE)</f>
        <v>#N/A</v>
      </c>
      <c r="E1660" s="523" t="e">
        <f ca="1">VLOOKUP(B1660,Calc!$K$88:$L$98,2,FALSE)</f>
        <v>#N/A</v>
      </c>
      <c r="F1660" s="523" t="e">
        <f ca="1">IF(Errorhandling!$C$42,INDEX(Calc!$J$99:$J$109,MATCH(Display!B1660,Calc!$K$99:$K$109,0),1),#N/A)</f>
        <v>#N/A</v>
      </c>
    </row>
    <row r="1661" spans="2:6" x14ac:dyDescent="0.2">
      <c r="B1661" s="6">
        <f t="shared" si="29"/>
        <v>1658</v>
      </c>
      <c r="C1661" s="81" t="e">
        <f ca="1">VLOOKUP(B1661,Calc!$K$66:$L$76,2,FALSE)</f>
        <v>#N/A</v>
      </c>
      <c r="D1661" s="81" t="e">
        <f ca="1">VLOOKUP(B1661,Calc!$K$77:$L$87,2,FALSE)</f>
        <v>#N/A</v>
      </c>
      <c r="E1661" s="523" t="e">
        <f ca="1">VLOOKUP(B1661,Calc!$K$88:$L$98,2,FALSE)</f>
        <v>#N/A</v>
      </c>
      <c r="F1661" s="523" t="e">
        <f ca="1">IF(Errorhandling!$C$42,INDEX(Calc!$J$99:$J$109,MATCH(Display!B1661,Calc!$K$99:$K$109,0),1),#N/A)</f>
        <v>#N/A</v>
      </c>
    </row>
    <row r="1662" spans="2:6" x14ac:dyDescent="0.2">
      <c r="B1662" s="6">
        <f t="shared" si="29"/>
        <v>1659</v>
      </c>
      <c r="C1662" s="81" t="e">
        <f ca="1">VLOOKUP(B1662,Calc!$K$66:$L$76,2,FALSE)</f>
        <v>#N/A</v>
      </c>
      <c r="D1662" s="81" t="e">
        <f ca="1">VLOOKUP(B1662,Calc!$K$77:$L$87,2,FALSE)</f>
        <v>#N/A</v>
      </c>
      <c r="E1662" s="523" t="e">
        <f ca="1">VLOOKUP(B1662,Calc!$K$88:$L$98,2,FALSE)</f>
        <v>#N/A</v>
      </c>
      <c r="F1662" s="523" t="e">
        <f ca="1">IF(Errorhandling!$C$42,INDEX(Calc!$J$99:$J$109,MATCH(Display!B1662,Calc!$K$99:$K$109,0),1),#N/A)</f>
        <v>#N/A</v>
      </c>
    </row>
    <row r="1663" spans="2:6" x14ac:dyDescent="0.2">
      <c r="B1663" s="6">
        <f t="shared" si="29"/>
        <v>1660</v>
      </c>
      <c r="C1663" s="81" t="e">
        <f ca="1">VLOOKUP(B1663,Calc!$K$66:$L$76,2,FALSE)</f>
        <v>#N/A</v>
      </c>
      <c r="D1663" s="81" t="e">
        <f ca="1">VLOOKUP(B1663,Calc!$K$77:$L$87,2,FALSE)</f>
        <v>#N/A</v>
      </c>
      <c r="E1663" s="523" t="e">
        <f ca="1">VLOOKUP(B1663,Calc!$K$88:$L$98,2,FALSE)</f>
        <v>#N/A</v>
      </c>
      <c r="F1663" s="523" t="e">
        <f ca="1">IF(Errorhandling!$C$42,INDEX(Calc!$J$99:$J$109,MATCH(Display!B1663,Calc!$K$99:$K$109,0),1),#N/A)</f>
        <v>#N/A</v>
      </c>
    </row>
    <row r="1664" spans="2:6" x14ac:dyDescent="0.2">
      <c r="B1664" s="6">
        <f t="shared" si="29"/>
        <v>1661</v>
      </c>
      <c r="C1664" s="81" t="e">
        <f ca="1">VLOOKUP(B1664,Calc!$K$66:$L$76,2,FALSE)</f>
        <v>#N/A</v>
      </c>
      <c r="D1664" s="81" t="e">
        <f ca="1">VLOOKUP(B1664,Calc!$K$77:$L$87,2,FALSE)</f>
        <v>#N/A</v>
      </c>
      <c r="E1664" s="523" t="e">
        <f ca="1">VLOOKUP(B1664,Calc!$K$88:$L$98,2,FALSE)</f>
        <v>#N/A</v>
      </c>
      <c r="F1664" s="523" t="e">
        <f ca="1">IF(Errorhandling!$C$42,INDEX(Calc!$J$99:$J$109,MATCH(Display!B1664,Calc!$K$99:$K$109,0),1),#N/A)</f>
        <v>#N/A</v>
      </c>
    </row>
    <row r="1665" spans="2:6" x14ac:dyDescent="0.2">
      <c r="B1665" s="6">
        <f t="shared" si="29"/>
        <v>1662</v>
      </c>
      <c r="C1665" s="81" t="e">
        <f ca="1">VLOOKUP(B1665,Calc!$K$66:$L$76,2,FALSE)</f>
        <v>#N/A</v>
      </c>
      <c r="D1665" s="81" t="e">
        <f ca="1">VLOOKUP(B1665,Calc!$K$77:$L$87,2,FALSE)</f>
        <v>#N/A</v>
      </c>
      <c r="E1665" s="523" t="e">
        <f ca="1">VLOOKUP(B1665,Calc!$K$88:$L$98,2,FALSE)</f>
        <v>#N/A</v>
      </c>
      <c r="F1665" s="523" t="e">
        <f ca="1">IF(Errorhandling!$C$42,INDEX(Calc!$J$99:$J$109,MATCH(Display!B1665,Calc!$K$99:$K$109,0),1),#N/A)</f>
        <v>#N/A</v>
      </c>
    </row>
    <row r="1666" spans="2:6" x14ac:dyDescent="0.2">
      <c r="B1666" s="6">
        <f t="shared" si="29"/>
        <v>1663</v>
      </c>
      <c r="C1666" s="81" t="e">
        <f ca="1">VLOOKUP(B1666,Calc!$K$66:$L$76,2,FALSE)</f>
        <v>#N/A</v>
      </c>
      <c r="D1666" s="81" t="e">
        <f ca="1">VLOOKUP(B1666,Calc!$K$77:$L$87,2,FALSE)</f>
        <v>#N/A</v>
      </c>
      <c r="E1666" s="523" t="e">
        <f ca="1">VLOOKUP(B1666,Calc!$K$88:$L$98,2,FALSE)</f>
        <v>#N/A</v>
      </c>
      <c r="F1666" s="523" t="e">
        <f ca="1">IF(Errorhandling!$C$42,INDEX(Calc!$J$99:$J$109,MATCH(Display!B1666,Calc!$K$99:$K$109,0),1),#N/A)</f>
        <v>#N/A</v>
      </c>
    </row>
    <row r="1667" spans="2:6" x14ac:dyDescent="0.2">
      <c r="B1667" s="6">
        <f t="shared" si="29"/>
        <v>1664</v>
      </c>
      <c r="C1667" s="81" t="e">
        <f ca="1">VLOOKUP(B1667,Calc!$K$66:$L$76,2,FALSE)</f>
        <v>#N/A</v>
      </c>
      <c r="D1667" s="81" t="e">
        <f ca="1">VLOOKUP(B1667,Calc!$K$77:$L$87,2,FALSE)</f>
        <v>#N/A</v>
      </c>
      <c r="E1667" s="523" t="e">
        <f ca="1">VLOOKUP(B1667,Calc!$K$88:$L$98,2,FALSE)</f>
        <v>#N/A</v>
      </c>
      <c r="F1667" s="523" t="e">
        <f ca="1">IF(Errorhandling!$C$42,INDEX(Calc!$J$99:$J$109,MATCH(Display!B1667,Calc!$K$99:$K$109,0),1),#N/A)</f>
        <v>#N/A</v>
      </c>
    </row>
    <row r="1668" spans="2:6" x14ac:dyDescent="0.2">
      <c r="B1668" s="6">
        <f t="shared" si="29"/>
        <v>1665</v>
      </c>
      <c r="C1668" s="81" t="e">
        <f ca="1">VLOOKUP(B1668,Calc!$K$66:$L$76,2,FALSE)</f>
        <v>#N/A</v>
      </c>
      <c r="D1668" s="81" t="e">
        <f ca="1">VLOOKUP(B1668,Calc!$K$77:$L$87,2,FALSE)</f>
        <v>#N/A</v>
      </c>
      <c r="E1668" s="523" t="e">
        <f ca="1">VLOOKUP(B1668,Calc!$K$88:$L$98,2,FALSE)</f>
        <v>#N/A</v>
      </c>
      <c r="F1668" s="523" t="e">
        <f ca="1">IF(Errorhandling!$C$42,INDEX(Calc!$J$99:$J$109,MATCH(Display!B1668,Calc!$K$99:$K$109,0),1),#N/A)</f>
        <v>#N/A</v>
      </c>
    </row>
    <row r="1669" spans="2:6" x14ac:dyDescent="0.2">
      <c r="B1669" s="6">
        <f t="shared" si="29"/>
        <v>1666</v>
      </c>
      <c r="C1669" s="81" t="e">
        <f ca="1">VLOOKUP(B1669,Calc!$K$66:$L$76,2,FALSE)</f>
        <v>#N/A</v>
      </c>
      <c r="D1669" s="81" t="e">
        <f ca="1">VLOOKUP(B1669,Calc!$K$77:$L$87,2,FALSE)</f>
        <v>#N/A</v>
      </c>
      <c r="E1669" s="523" t="e">
        <f ca="1">VLOOKUP(B1669,Calc!$K$88:$L$98,2,FALSE)</f>
        <v>#N/A</v>
      </c>
      <c r="F1669" s="523" t="e">
        <f ca="1">IF(Errorhandling!$C$42,INDEX(Calc!$J$99:$J$109,MATCH(Display!B1669,Calc!$K$99:$K$109,0),1),#N/A)</f>
        <v>#N/A</v>
      </c>
    </row>
    <row r="1670" spans="2:6" x14ac:dyDescent="0.2">
      <c r="B1670" s="6">
        <f t="shared" si="29"/>
        <v>1667</v>
      </c>
      <c r="C1670" s="81" t="e">
        <f ca="1">VLOOKUP(B1670,Calc!$K$66:$L$76,2,FALSE)</f>
        <v>#N/A</v>
      </c>
      <c r="D1670" s="81" t="e">
        <f ca="1">VLOOKUP(B1670,Calc!$K$77:$L$87,2,FALSE)</f>
        <v>#N/A</v>
      </c>
      <c r="E1670" s="523" t="e">
        <f ca="1">VLOOKUP(B1670,Calc!$K$88:$L$98,2,FALSE)</f>
        <v>#N/A</v>
      </c>
      <c r="F1670" s="523" t="e">
        <f ca="1">IF(Errorhandling!$C$42,INDEX(Calc!$J$99:$J$109,MATCH(Display!B1670,Calc!$K$99:$K$109,0),1),#N/A)</f>
        <v>#N/A</v>
      </c>
    </row>
    <row r="1671" spans="2:6" x14ac:dyDescent="0.2">
      <c r="B1671" s="6">
        <f t="shared" ref="B1671:B1734" si="30">1+B1670</f>
        <v>1668</v>
      </c>
      <c r="C1671" s="81" t="e">
        <f ca="1">VLOOKUP(B1671,Calc!$K$66:$L$76,2,FALSE)</f>
        <v>#N/A</v>
      </c>
      <c r="D1671" s="81" t="e">
        <f ca="1">VLOOKUP(B1671,Calc!$K$77:$L$87,2,FALSE)</f>
        <v>#N/A</v>
      </c>
      <c r="E1671" s="523" t="e">
        <f ca="1">VLOOKUP(B1671,Calc!$K$88:$L$98,2,FALSE)</f>
        <v>#N/A</v>
      </c>
      <c r="F1671" s="523" t="e">
        <f ca="1">IF(Errorhandling!$C$42,INDEX(Calc!$J$99:$J$109,MATCH(Display!B1671,Calc!$K$99:$K$109,0),1),#N/A)</f>
        <v>#N/A</v>
      </c>
    </row>
    <row r="1672" spans="2:6" x14ac:dyDescent="0.2">
      <c r="B1672" s="6">
        <f t="shared" si="30"/>
        <v>1669</v>
      </c>
      <c r="C1672" s="81" t="e">
        <f ca="1">VLOOKUP(B1672,Calc!$K$66:$L$76,2,FALSE)</f>
        <v>#N/A</v>
      </c>
      <c r="D1672" s="81" t="e">
        <f ca="1">VLOOKUP(B1672,Calc!$K$77:$L$87,2,FALSE)</f>
        <v>#N/A</v>
      </c>
      <c r="E1672" s="523" t="e">
        <f ca="1">VLOOKUP(B1672,Calc!$K$88:$L$98,2,FALSE)</f>
        <v>#N/A</v>
      </c>
      <c r="F1672" s="523" t="e">
        <f ca="1">IF(Errorhandling!$C$42,INDEX(Calc!$J$99:$J$109,MATCH(Display!B1672,Calc!$K$99:$K$109,0),1),#N/A)</f>
        <v>#N/A</v>
      </c>
    </row>
    <row r="1673" spans="2:6" x14ac:dyDescent="0.2">
      <c r="B1673" s="6">
        <f t="shared" si="30"/>
        <v>1670</v>
      </c>
      <c r="C1673" s="81" t="e">
        <f ca="1">VLOOKUP(B1673,Calc!$K$66:$L$76,2,FALSE)</f>
        <v>#N/A</v>
      </c>
      <c r="D1673" s="81" t="e">
        <f ca="1">VLOOKUP(B1673,Calc!$K$77:$L$87,2,FALSE)</f>
        <v>#N/A</v>
      </c>
      <c r="E1673" s="523" t="e">
        <f ca="1">VLOOKUP(B1673,Calc!$K$88:$L$98,2,FALSE)</f>
        <v>#N/A</v>
      </c>
      <c r="F1673" s="523" t="e">
        <f ca="1">IF(Errorhandling!$C$42,INDEX(Calc!$J$99:$J$109,MATCH(Display!B1673,Calc!$K$99:$K$109,0),1),#N/A)</f>
        <v>#N/A</v>
      </c>
    </row>
    <row r="1674" spans="2:6" x14ac:dyDescent="0.2">
      <c r="B1674" s="6">
        <f t="shared" si="30"/>
        <v>1671</v>
      </c>
      <c r="C1674" s="81" t="e">
        <f ca="1">VLOOKUP(B1674,Calc!$K$66:$L$76,2,FALSE)</f>
        <v>#N/A</v>
      </c>
      <c r="D1674" s="81" t="e">
        <f ca="1">VLOOKUP(B1674,Calc!$K$77:$L$87,2,FALSE)</f>
        <v>#N/A</v>
      </c>
      <c r="E1674" s="523" t="e">
        <f ca="1">VLOOKUP(B1674,Calc!$K$88:$L$98,2,FALSE)</f>
        <v>#N/A</v>
      </c>
      <c r="F1674" s="523" t="e">
        <f ca="1">IF(Errorhandling!$C$42,INDEX(Calc!$J$99:$J$109,MATCH(Display!B1674,Calc!$K$99:$K$109,0),1),#N/A)</f>
        <v>#N/A</v>
      </c>
    </row>
    <row r="1675" spans="2:6" x14ac:dyDescent="0.2">
      <c r="B1675" s="6">
        <f t="shared" si="30"/>
        <v>1672</v>
      </c>
      <c r="C1675" s="81" t="e">
        <f ca="1">VLOOKUP(B1675,Calc!$K$66:$L$76,2,FALSE)</f>
        <v>#N/A</v>
      </c>
      <c r="D1675" s="81" t="e">
        <f ca="1">VLOOKUP(B1675,Calc!$K$77:$L$87,2,FALSE)</f>
        <v>#N/A</v>
      </c>
      <c r="E1675" s="523" t="e">
        <f ca="1">VLOOKUP(B1675,Calc!$K$88:$L$98,2,FALSE)</f>
        <v>#N/A</v>
      </c>
      <c r="F1675" s="523" t="e">
        <f ca="1">IF(Errorhandling!$C$42,INDEX(Calc!$J$99:$J$109,MATCH(Display!B1675,Calc!$K$99:$K$109,0),1),#N/A)</f>
        <v>#N/A</v>
      </c>
    </row>
    <row r="1676" spans="2:6" x14ac:dyDescent="0.2">
      <c r="B1676" s="6">
        <f t="shared" si="30"/>
        <v>1673</v>
      </c>
      <c r="C1676" s="81" t="e">
        <f ca="1">VLOOKUP(B1676,Calc!$K$66:$L$76,2,FALSE)</f>
        <v>#N/A</v>
      </c>
      <c r="D1676" s="81" t="e">
        <f ca="1">VLOOKUP(B1676,Calc!$K$77:$L$87,2,FALSE)</f>
        <v>#N/A</v>
      </c>
      <c r="E1676" s="523" t="e">
        <f ca="1">VLOOKUP(B1676,Calc!$K$88:$L$98,2,FALSE)</f>
        <v>#N/A</v>
      </c>
      <c r="F1676" s="523" t="e">
        <f ca="1">IF(Errorhandling!$C$42,INDEX(Calc!$J$99:$J$109,MATCH(Display!B1676,Calc!$K$99:$K$109,0),1),#N/A)</f>
        <v>#N/A</v>
      </c>
    </row>
    <row r="1677" spans="2:6" x14ac:dyDescent="0.2">
      <c r="B1677" s="6">
        <f t="shared" si="30"/>
        <v>1674</v>
      </c>
      <c r="C1677" s="81" t="e">
        <f ca="1">VLOOKUP(B1677,Calc!$K$66:$L$76,2,FALSE)</f>
        <v>#N/A</v>
      </c>
      <c r="D1677" s="81" t="e">
        <f ca="1">VLOOKUP(B1677,Calc!$K$77:$L$87,2,FALSE)</f>
        <v>#N/A</v>
      </c>
      <c r="E1677" s="523" t="e">
        <f ca="1">VLOOKUP(B1677,Calc!$K$88:$L$98,2,FALSE)</f>
        <v>#N/A</v>
      </c>
      <c r="F1677" s="523" t="e">
        <f ca="1">IF(Errorhandling!$C$42,INDEX(Calc!$J$99:$J$109,MATCH(Display!B1677,Calc!$K$99:$K$109,0),1),#N/A)</f>
        <v>#N/A</v>
      </c>
    </row>
    <row r="1678" spans="2:6" x14ac:dyDescent="0.2">
      <c r="B1678" s="6">
        <f t="shared" si="30"/>
        <v>1675</v>
      </c>
      <c r="C1678" s="81" t="e">
        <f ca="1">VLOOKUP(B1678,Calc!$K$66:$L$76,2,FALSE)</f>
        <v>#N/A</v>
      </c>
      <c r="D1678" s="81" t="e">
        <f ca="1">VLOOKUP(B1678,Calc!$K$77:$L$87,2,FALSE)</f>
        <v>#N/A</v>
      </c>
      <c r="E1678" s="523" t="e">
        <f ca="1">VLOOKUP(B1678,Calc!$K$88:$L$98,2,FALSE)</f>
        <v>#N/A</v>
      </c>
      <c r="F1678" s="523" t="e">
        <f ca="1">IF(Errorhandling!$C$42,INDEX(Calc!$J$99:$J$109,MATCH(Display!B1678,Calc!$K$99:$K$109,0),1),#N/A)</f>
        <v>#N/A</v>
      </c>
    </row>
    <row r="1679" spans="2:6" x14ac:dyDescent="0.2">
      <c r="B1679" s="6">
        <f t="shared" si="30"/>
        <v>1676</v>
      </c>
      <c r="C1679" s="81" t="e">
        <f ca="1">VLOOKUP(B1679,Calc!$K$66:$L$76,2,FALSE)</f>
        <v>#N/A</v>
      </c>
      <c r="D1679" s="81" t="e">
        <f ca="1">VLOOKUP(B1679,Calc!$K$77:$L$87,2,FALSE)</f>
        <v>#N/A</v>
      </c>
      <c r="E1679" s="523" t="e">
        <f ca="1">VLOOKUP(B1679,Calc!$K$88:$L$98,2,FALSE)</f>
        <v>#N/A</v>
      </c>
      <c r="F1679" s="523" t="e">
        <f ca="1">IF(Errorhandling!$C$42,INDEX(Calc!$J$99:$J$109,MATCH(Display!B1679,Calc!$K$99:$K$109,0),1),#N/A)</f>
        <v>#N/A</v>
      </c>
    </row>
    <row r="1680" spans="2:6" x14ac:dyDescent="0.2">
      <c r="B1680" s="6">
        <f t="shared" si="30"/>
        <v>1677</v>
      </c>
      <c r="C1680" s="81" t="e">
        <f ca="1">VLOOKUP(B1680,Calc!$K$66:$L$76,2,FALSE)</f>
        <v>#N/A</v>
      </c>
      <c r="D1680" s="81" t="e">
        <f ca="1">VLOOKUP(B1680,Calc!$K$77:$L$87,2,FALSE)</f>
        <v>#N/A</v>
      </c>
      <c r="E1680" s="523" t="e">
        <f ca="1">VLOOKUP(B1680,Calc!$K$88:$L$98,2,FALSE)</f>
        <v>#N/A</v>
      </c>
      <c r="F1680" s="523" t="e">
        <f ca="1">IF(Errorhandling!$C$42,INDEX(Calc!$J$99:$J$109,MATCH(Display!B1680,Calc!$K$99:$K$109,0),1),#N/A)</f>
        <v>#N/A</v>
      </c>
    </row>
    <row r="1681" spans="2:6" x14ac:dyDescent="0.2">
      <c r="B1681" s="6">
        <f t="shared" si="30"/>
        <v>1678</v>
      </c>
      <c r="C1681" s="81" t="e">
        <f ca="1">VLOOKUP(B1681,Calc!$K$66:$L$76,2,FALSE)</f>
        <v>#N/A</v>
      </c>
      <c r="D1681" s="81" t="e">
        <f ca="1">VLOOKUP(B1681,Calc!$K$77:$L$87,2,FALSE)</f>
        <v>#N/A</v>
      </c>
      <c r="E1681" s="523" t="e">
        <f ca="1">VLOOKUP(B1681,Calc!$K$88:$L$98,2,FALSE)</f>
        <v>#N/A</v>
      </c>
      <c r="F1681" s="523" t="e">
        <f ca="1">IF(Errorhandling!$C$42,INDEX(Calc!$J$99:$J$109,MATCH(Display!B1681,Calc!$K$99:$K$109,0),1),#N/A)</f>
        <v>#N/A</v>
      </c>
    </row>
    <row r="1682" spans="2:6" x14ac:dyDescent="0.2">
      <c r="B1682" s="6">
        <f t="shared" si="30"/>
        <v>1679</v>
      </c>
      <c r="C1682" s="81" t="e">
        <f ca="1">VLOOKUP(B1682,Calc!$K$66:$L$76,2,FALSE)</f>
        <v>#N/A</v>
      </c>
      <c r="D1682" s="81" t="e">
        <f ca="1">VLOOKUP(B1682,Calc!$K$77:$L$87,2,FALSE)</f>
        <v>#N/A</v>
      </c>
      <c r="E1682" s="523" t="e">
        <f ca="1">VLOOKUP(B1682,Calc!$K$88:$L$98,2,FALSE)</f>
        <v>#N/A</v>
      </c>
      <c r="F1682" s="523" t="e">
        <f ca="1">IF(Errorhandling!$C$42,INDEX(Calc!$J$99:$J$109,MATCH(Display!B1682,Calc!$K$99:$K$109,0),1),#N/A)</f>
        <v>#N/A</v>
      </c>
    </row>
    <row r="1683" spans="2:6" x14ac:dyDescent="0.2">
      <c r="B1683" s="6">
        <f t="shared" si="30"/>
        <v>1680</v>
      </c>
      <c r="C1683" s="81" t="e">
        <f ca="1">VLOOKUP(B1683,Calc!$K$66:$L$76,2,FALSE)</f>
        <v>#N/A</v>
      </c>
      <c r="D1683" s="81" t="e">
        <f ca="1">VLOOKUP(B1683,Calc!$K$77:$L$87,2,FALSE)</f>
        <v>#N/A</v>
      </c>
      <c r="E1683" s="523" t="e">
        <f ca="1">VLOOKUP(B1683,Calc!$K$88:$L$98,2,FALSE)</f>
        <v>#N/A</v>
      </c>
      <c r="F1683" s="523" t="e">
        <f ca="1">IF(Errorhandling!$C$42,INDEX(Calc!$J$99:$J$109,MATCH(Display!B1683,Calc!$K$99:$K$109,0),1),#N/A)</f>
        <v>#N/A</v>
      </c>
    </row>
    <row r="1684" spans="2:6" x14ac:dyDescent="0.2">
      <c r="B1684" s="6">
        <f t="shared" si="30"/>
        <v>1681</v>
      </c>
      <c r="C1684" s="81" t="e">
        <f ca="1">VLOOKUP(B1684,Calc!$K$66:$L$76,2,FALSE)</f>
        <v>#N/A</v>
      </c>
      <c r="D1684" s="81" t="e">
        <f ca="1">VLOOKUP(B1684,Calc!$K$77:$L$87,2,FALSE)</f>
        <v>#N/A</v>
      </c>
      <c r="E1684" s="523" t="e">
        <f ca="1">VLOOKUP(B1684,Calc!$K$88:$L$98,2,FALSE)</f>
        <v>#N/A</v>
      </c>
      <c r="F1684" s="523" t="e">
        <f ca="1">IF(Errorhandling!$C$42,INDEX(Calc!$J$99:$J$109,MATCH(Display!B1684,Calc!$K$99:$K$109,0),1),#N/A)</f>
        <v>#N/A</v>
      </c>
    </row>
    <row r="1685" spans="2:6" x14ac:dyDescent="0.2">
      <c r="B1685" s="6">
        <f t="shared" si="30"/>
        <v>1682</v>
      </c>
      <c r="C1685" s="81" t="e">
        <f ca="1">VLOOKUP(B1685,Calc!$K$66:$L$76,2,FALSE)</f>
        <v>#N/A</v>
      </c>
      <c r="D1685" s="81" t="e">
        <f ca="1">VLOOKUP(B1685,Calc!$K$77:$L$87,2,FALSE)</f>
        <v>#N/A</v>
      </c>
      <c r="E1685" s="523" t="e">
        <f ca="1">VLOOKUP(B1685,Calc!$K$88:$L$98,2,FALSE)</f>
        <v>#N/A</v>
      </c>
      <c r="F1685" s="523" t="e">
        <f ca="1">IF(Errorhandling!$C$42,INDEX(Calc!$J$99:$J$109,MATCH(Display!B1685,Calc!$K$99:$K$109,0),1),#N/A)</f>
        <v>#N/A</v>
      </c>
    </row>
    <row r="1686" spans="2:6" x14ac:dyDescent="0.2">
      <c r="B1686" s="6">
        <f t="shared" si="30"/>
        <v>1683</v>
      </c>
      <c r="C1686" s="81" t="e">
        <f ca="1">VLOOKUP(B1686,Calc!$K$66:$L$76,2,FALSE)</f>
        <v>#N/A</v>
      </c>
      <c r="D1686" s="81" t="e">
        <f ca="1">VLOOKUP(B1686,Calc!$K$77:$L$87,2,FALSE)</f>
        <v>#N/A</v>
      </c>
      <c r="E1686" s="523" t="e">
        <f ca="1">VLOOKUP(B1686,Calc!$K$88:$L$98,2,FALSE)</f>
        <v>#N/A</v>
      </c>
      <c r="F1686" s="523" t="e">
        <f ca="1">IF(Errorhandling!$C$42,INDEX(Calc!$J$99:$J$109,MATCH(Display!B1686,Calc!$K$99:$K$109,0),1),#N/A)</f>
        <v>#N/A</v>
      </c>
    </row>
    <row r="1687" spans="2:6" x14ac:dyDescent="0.2">
      <c r="B1687" s="6">
        <f t="shared" si="30"/>
        <v>1684</v>
      </c>
      <c r="C1687" s="81" t="e">
        <f ca="1">VLOOKUP(B1687,Calc!$K$66:$L$76,2,FALSE)</f>
        <v>#N/A</v>
      </c>
      <c r="D1687" s="81" t="e">
        <f ca="1">VLOOKUP(B1687,Calc!$K$77:$L$87,2,FALSE)</f>
        <v>#N/A</v>
      </c>
      <c r="E1687" s="523" t="e">
        <f ca="1">VLOOKUP(B1687,Calc!$K$88:$L$98,2,FALSE)</f>
        <v>#N/A</v>
      </c>
      <c r="F1687" s="523" t="e">
        <f ca="1">IF(Errorhandling!$C$42,INDEX(Calc!$J$99:$J$109,MATCH(Display!B1687,Calc!$K$99:$K$109,0),1),#N/A)</f>
        <v>#N/A</v>
      </c>
    </row>
    <row r="1688" spans="2:6" x14ac:dyDescent="0.2">
      <c r="B1688" s="6">
        <f t="shared" si="30"/>
        <v>1685</v>
      </c>
      <c r="C1688" s="81" t="e">
        <f ca="1">VLOOKUP(B1688,Calc!$K$66:$L$76,2,FALSE)</f>
        <v>#N/A</v>
      </c>
      <c r="D1688" s="81" t="e">
        <f ca="1">VLOOKUP(B1688,Calc!$K$77:$L$87,2,FALSE)</f>
        <v>#N/A</v>
      </c>
      <c r="E1688" s="523" t="e">
        <f ca="1">VLOOKUP(B1688,Calc!$K$88:$L$98,2,FALSE)</f>
        <v>#N/A</v>
      </c>
      <c r="F1688" s="523" t="e">
        <f ca="1">IF(Errorhandling!$C$42,INDEX(Calc!$J$99:$J$109,MATCH(Display!B1688,Calc!$K$99:$K$109,0),1),#N/A)</f>
        <v>#N/A</v>
      </c>
    </row>
    <row r="1689" spans="2:6" x14ac:dyDescent="0.2">
      <c r="B1689" s="6">
        <f t="shared" si="30"/>
        <v>1686</v>
      </c>
      <c r="C1689" s="81" t="e">
        <f ca="1">VLOOKUP(B1689,Calc!$K$66:$L$76,2,FALSE)</f>
        <v>#N/A</v>
      </c>
      <c r="D1689" s="81" t="e">
        <f ca="1">VLOOKUP(B1689,Calc!$K$77:$L$87,2,FALSE)</f>
        <v>#N/A</v>
      </c>
      <c r="E1689" s="523" t="e">
        <f ca="1">VLOOKUP(B1689,Calc!$K$88:$L$98,2,FALSE)</f>
        <v>#N/A</v>
      </c>
      <c r="F1689" s="523" t="e">
        <f ca="1">IF(Errorhandling!$C$42,INDEX(Calc!$J$99:$J$109,MATCH(Display!B1689,Calc!$K$99:$K$109,0),1),#N/A)</f>
        <v>#N/A</v>
      </c>
    </row>
    <row r="1690" spans="2:6" x14ac:dyDescent="0.2">
      <c r="B1690" s="6">
        <f t="shared" si="30"/>
        <v>1687</v>
      </c>
      <c r="C1690" s="81" t="e">
        <f ca="1">VLOOKUP(B1690,Calc!$K$66:$L$76,2,FALSE)</f>
        <v>#N/A</v>
      </c>
      <c r="D1690" s="81" t="e">
        <f ca="1">VLOOKUP(B1690,Calc!$K$77:$L$87,2,FALSE)</f>
        <v>#N/A</v>
      </c>
      <c r="E1690" s="523" t="e">
        <f ca="1">VLOOKUP(B1690,Calc!$K$88:$L$98,2,FALSE)</f>
        <v>#N/A</v>
      </c>
      <c r="F1690" s="523" t="e">
        <f ca="1">IF(Errorhandling!$C$42,INDEX(Calc!$J$99:$J$109,MATCH(Display!B1690,Calc!$K$99:$K$109,0),1),#N/A)</f>
        <v>#N/A</v>
      </c>
    </row>
    <row r="1691" spans="2:6" x14ac:dyDescent="0.2">
      <c r="B1691" s="6">
        <f t="shared" si="30"/>
        <v>1688</v>
      </c>
      <c r="C1691" s="81" t="e">
        <f ca="1">VLOOKUP(B1691,Calc!$K$66:$L$76,2,FALSE)</f>
        <v>#N/A</v>
      </c>
      <c r="D1691" s="81" t="e">
        <f ca="1">VLOOKUP(B1691,Calc!$K$77:$L$87,2,FALSE)</f>
        <v>#N/A</v>
      </c>
      <c r="E1691" s="523" t="e">
        <f ca="1">VLOOKUP(B1691,Calc!$K$88:$L$98,2,FALSE)</f>
        <v>#N/A</v>
      </c>
      <c r="F1691" s="523" t="e">
        <f ca="1">IF(Errorhandling!$C$42,INDEX(Calc!$J$99:$J$109,MATCH(Display!B1691,Calc!$K$99:$K$109,0),1),#N/A)</f>
        <v>#N/A</v>
      </c>
    </row>
    <row r="1692" spans="2:6" x14ac:dyDescent="0.2">
      <c r="B1692" s="6">
        <f t="shared" si="30"/>
        <v>1689</v>
      </c>
      <c r="C1692" s="81" t="e">
        <f ca="1">VLOOKUP(B1692,Calc!$K$66:$L$76,2,FALSE)</f>
        <v>#N/A</v>
      </c>
      <c r="D1692" s="81" t="e">
        <f ca="1">VLOOKUP(B1692,Calc!$K$77:$L$87,2,FALSE)</f>
        <v>#N/A</v>
      </c>
      <c r="E1692" s="523" t="e">
        <f ca="1">VLOOKUP(B1692,Calc!$K$88:$L$98,2,FALSE)</f>
        <v>#N/A</v>
      </c>
      <c r="F1692" s="523" t="e">
        <f ca="1">IF(Errorhandling!$C$42,INDEX(Calc!$J$99:$J$109,MATCH(Display!B1692,Calc!$K$99:$K$109,0),1),#N/A)</f>
        <v>#N/A</v>
      </c>
    </row>
    <row r="1693" spans="2:6" x14ac:dyDescent="0.2">
      <c r="B1693" s="6">
        <f t="shared" si="30"/>
        <v>1690</v>
      </c>
      <c r="C1693" s="81" t="e">
        <f ca="1">VLOOKUP(B1693,Calc!$K$66:$L$76,2,FALSE)</f>
        <v>#N/A</v>
      </c>
      <c r="D1693" s="81" t="e">
        <f ca="1">VLOOKUP(B1693,Calc!$K$77:$L$87,2,FALSE)</f>
        <v>#N/A</v>
      </c>
      <c r="E1693" s="523" t="e">
        <f ca="1">VLOOKUP(B1693,Calc!$K$88:$L$98,2,FALSE)</f>
        <v>#N/A</v>
      </c>
      <c r="F1693" s="523" t="e">
        <f ca="1">IF(Errorhandling!$C$42,INDEX(Calc!$J$99:$J$109,MATCH(Display!B1693,Calc!$K$99:$K$109,0),1),#N/A)</f>
        <v>#N/A</v>
      </c>
    </row>
    <row r="1694" spans="2:6" x14ac:dyDescent="0.2">
      <c r="B1694" s="6">
        <f t="shared" si="30"/>
        <v>1691</v>
      </c>
      <c r="C1694" s="81" t="e">
        <f ca="1">VLOOKUP(B1694,Calc!$K$66:$L$76,2,FALSE)</f>
        <v>#N/A</v>
      </c>
      <c r="D1694" s="81" t="e">
        <f ca="1">VLOOKUP(B1694,Calc!$K$77:$L$87,2,FALSE)</f>
        <v>#N/A</v>
      </c>
      <c r="E1694" s="523" t="e">
        <f ca="1">VLOOKUP(B1694,Calc!$K$88:$L$98,2,FALSE)</f>
        <v>#N/A</v>
      </c>
      <c r="F1694" s="523" t="e">
        <f ca="1">IF(Errorhandling!$C$42,INDEX(Calc!$J$99:$J$109,MATCH(Display!B1694,Calc!$K$99:$K$109,0),1),#N/A)</f>
        <v>#N/A</v>
      </c>
    </row>
    <row r="1695" spans="2:6" x14ac:dyDescent="0.2">
      <c r="B1695" s="6">
        <f t="shared" si="30"/>
        <v>1692</v>
      </c>
      <c r="C1695" s="81" t="e">
        <f ca="1">VLOOKUP(B1695,Calc!$K$66:$L$76,2,FALSE)</f>
        <v>#N/A</v>
      </c>
      <c r="D1695" s="81" t="e">
        <f ca="1">VLOOKUP(B1695,Calc!$K$77:$L$87,2,FALSE)</f>
        <v>#N/A</v>
      </c>
      <c r="E1695" s="523" t="e">
        <f ca="1">VLOOKUP(B1695,Calc!$K$88:$L$98,2,FALSE)</f>
        <v>#N/A</v>
      </c>
      <c r="F1695" s="523" t="e">
        <f ca="1">IF(Errorhandling!$C$42,INDEX(Calc!$J$99:$J$109,MATCH(Display!B1695,Calc!$K$99:$K$109,0),1),#N/A)</f>
        <v>#N/A</v>
      </c>
    </row>
    <row r="1696" spans="2:6" x14ac:dyDescent="0.2">
      <c r="B1696" s="6">
        <f t="shared" si="30"/>
        <v>1693</v>
      </c>
      <c r="C1696" s="81" t="e">
        <f ca="1">VLOOKUP(B1696,Calc!$K$66:$L$76,2,FALSE)</f>
        <v>#N/A</v>
      </c>
      <c r="D1696" s="81" t="e">
        <f ca="1">VLOOKUP(B1696,Calc!$K$77:$L$87,2,FALSE)</f>
        <v>#N/A</v>
      </c>
      <c r="E1696" s="523" t="e">
        <f ca="1">VLOOKUP(B1696,Calc!$K$88:$L$98,2,FALSE)</f>
        <v>#N/A</v>
      </c>
      <c r="F1696" s="523" t="e">
        <f ca="1">IF(Errorhandling!$C$42,INDEX(Calc!$J$99:$J$109,MATCH(Display!B1696,Calc!$K$99:$K$109,0),1),#N/A)</f>
        <v>#N/A</v>
      </c>
    </row>
    <row r="1697" spans="2:6" x14ac:dyDescent="0.2">
      <c r="B1697" s="6">
        <f t="shared" si="30"/>
        <v>1694</v>
      </c>
      <c r="C1697" s="81" t="e">
        <f ca="1">VLOOKUP(B1697,Calc!$K$66:$L$76,2,FALSE)</f>
        <v>#N/A</v>
      </c>
      <c r="D1697" s="81" t="e">
        <f ca="1">VLOOKUP(B1697,Calc!$K$77:$L$87,2,FALSE)</f>
        <v>#N/A</v>
      </c>
      <c r="E1697" s="523" t="e">
        <f ca="1">VLOOKUP(B1697,Calc!$K$88:$L$98,2,FALSE)</f>
        <v>#N/A</v>
      </c>
      <c r="F1697" s="523" t="e">
        <f ca="1">IF(Errorhandling!$C$42,INDEX(Calc!$J$99:$J$109,MATCH(Display!B1697,Calc!$K$99:$K$109,0),1),#N/A)</f>
        <v>#N/A</v>
      </c>
    </row>
    <row r="1698" spans="2:6" x14ac:dyDescent="0.2">
      <c r="B1698" s="6">
        <f t="shared" si="30"/>
        <v>1695</v>
      </c>
      <c r="C1698" s="81" t="e">
        <f ca="1">VLOOKUP(B1698,Calc!$K$66:$L$76,2,FALSE)</f>
        <v>#N/A</v>
      </c>
      <c r="D1698" s="81" t="e">
        <f ca="1">VLOOKUP(B1698,Calc!$K$77:$L$87,2,FALSE)</f>
        <v>#N/A</v>
      </c>
      <c r="E1698" s="523" t="e">
        <f ca="1">VLOOKUP(B1698,Calc!$K$88:$L$98,2,FALSE)</f>
        <v>#N/A</v>
      </c>
      <c r="F1698" s="523" t="e">
        <f ca="1">IF(Errorhandling!$C$42,INDEX(Calc!$J$99:$J$109,MATCH(Display!B1698,Calc!$K$99:$K$109,0),1),#N/A)</f>
        <v>#N/A</v>
      </c>
    </row>
    <row r="1699" spans="2:6" x14ac:dyDescent="0.2">
      <c r="B1699" s="6">
        <f t="shared" si="30"/>
        <v>1696</v>
      </c>
      <c r="C1699" s="81" t="e">
        <f ca="1">VLOOKUP(B1699,Calc!$K$66:$L$76,2,FALSE)</f>
        <v>#N/A</v>
      </c>
      <c r="D1699" s="81" t="e">
        <f ca="1">VLOOKUP(B1699,Calc!$K$77:$L$87,2,FALSE)</f>
        <v>#N/A</v>
      </c>
      <c r="E1699" s="523" t="e">
        <f ca="1">VLOOKUP(B1699,Calc!$K$88:$L$98,2,FALSE)</f>
        <v>#N/A</v>
      </c>
      <c r="F1699" s="523" t="e">
        <f ca="1">IF(Errorhandling!$C$42,INDEX(Calc!$J$99:$J$109,MATCH(Display!B1699,Calc!$K$99:$K$109,0),1),#N/A)</f>
        <v>#N/A</v>
      </c>
    </row>
    <row r="1700" spans="2:6" x14ac:dyDescent="0.2">
      <c r="B1700" s="6">
        <f t="shared" si="30"/>
        <v>1697</v>
      </c>
      <c r="C1700" s="81" t="e">
        <f ca="1">VLOOKUP(B1700,Calc!$K$66:$L$76,2,FALSE)</f>
        <v>#N/A</v>
      </c>
      <c r="D1700" s="81" t="e">
        <f ca="1">VLOOKUP(B1700,Calc!$K$77:$L$87,2,FALSE)</f>
        <v>#N/A</v>
      </c>
      <c r="E1700" s="523" t="e">
        <f ca="1">VLOOKUP(B1700,Calc!$K$88:$L$98,2,FALSE)</f>
        <v>#N/A</v>
      </c>
      <c r="F1700" s="523" t="e">
        <f ca="1">IF(Errorhandling!$C$42,INDEX(Calc!$J$99:$J$109,MATCH(Display!B1700,Calc!$K$99:$K$109,0),1),#N/A)</f>
        <v>#N/A</v>
      </c>
    </row>
    <row r="1701" spans="2:6" x14ac:dyDescent="0.2">
      <c r="B1701" s="6">
        <f t="shared" si="30"/>
        <v>1698</v>
      </c>
      <c r="C1701" s="81" t="e">
        <f ca="1">VLOOKUP(B1701,Calc!$K$66:$L$76,2,FALSE)</f>
        <v>#N/A</v>
      </c>
      <c r="D1701" s="81" t="e">
        <f ca="1">VLOOKUP(B1701,Calc!$K$77:$L$87,2,FALSE)</f>
        <v>#N/A</v>
      </c>
      <c r="E1701" s="523" t="e">
        <f ca="1">VLOOKUP(B1701,Calc!$K$88:$L$98,2,FALSE)</f>
        <v>#N/A</v>
      </c>
      <c r="F1701" s="523" t="e">
        <f ca="1">IF(Errorhandling!$C$42,INDEX(Calc!$J$99:$J$109,MATCH(Display!B1701,Calc!$K$99:$K$109,0),1),#N/A)</f>
        <v>#N/A</v>
      </c>
    </row>
    <row r="1702" spans="2:6" x14ac:dyDescent="0.2">
      <c r="B1702" s="6">
        <f t="shared" si="30"/>
        <v>1699</v>
      </c>
      <c r="C1702" s="81" t="e">
        <f ca="1">VLOOKUP(B1702,Calc!$K$66:$L$76,2,FALSE)</f>
        <v>#N/A</v>
      </c>
      <c r="D1702" s="81" t="e">
        <f ca="1">VLOOKUP(B1702,Calc!$K$77:$L$87,2,FALSE)</f>
        <v>#N/A</v>
      </c>
      <c r="E1702" s="523" t="e">
        <f ca="1">VLOOKUP(B1702,Calc!$K$88:$L$98,2,FALSE)</f>
        <v>#N/A</v>
      </c>
      <c r="F1702" s="523" t="e">
        <f ca="1">IF(Errorhandling!$C$42,INDEX(Calc!$J$99:$J$109,MATCH(Display!B1702,Calc!$K$99:$K$109,0),1),#N/A)</f>
        <v>#N/A</v>
      </c>
    </row>
    <row r="1703" spans="2:6" x14ac:dyDescent="0.2">
      <c r="B1703" s="6">
        <f t="shared" si="30"/>
        <v>1700</v>
      </c>
      <c r="C1703" s="81" t="e">
        <f ca="1">VLOOKUP(B1703,Calc!$K$66:$L$76,2,FALSE)</f>
        <v>#N/A</v>
      </c>
      <c r="D1703" s="81" t="e">
        <f ca="1">VLOOKUP(B1703,Calc!$K$77:$L$87,2,FALSE)</f>
        <v>#N/A</v>
      </c>
      <c r="E1703" s="523" t="e">
        <f ca="1">VLOOKUP(B1703,Calc!$K$88:$L$98,2,FALSE)</f>
        <v>#N/A</v>
      </c>
      <c r="F1703" s="523" t="e">
        <f ca="1">IF(Errorhandling!$C$42,INDEX(Calc!$J$99:$J$109,MATCH(Display!B1703,Calc!$K$99:$K$109,0),1),#N/A)</f>
        <v>#N/A</v>
      </c>
    </row>
    <row r="1704" spans="2:6" x14ac:dyDescent="0.2">
      <c r="B1704" s="6">
        <f t="shared" si="30"/>
        <v>1701</v>
      </c>
      <c r="C1704" s="81" t="e">
        <f ca="1">VLOOKUP(B1704,Calc!$K$66:$L$76,2,FALSE)</f>
        <v>#N/A</v>
      </c>
      <c r="D1704" s="81" t="e">
        <f ca="1">VLOOKUP(B1704,Calc!$K$77:$L$87,2,FALSE)</f>
        <v>#N/A</v>
      </c>
      <c r="E1704" s="523" t="e">
        <f ca="1">VLOOKUP(B1704,Calc!$K$88:$L$98,2,FALSE)</f>
        <v>#N/A</v>
      </c>
      <c r="F1704" s="523" t="e">
        <f ca="1">IF(Errorhandling!$C$42,INDEX(Calc!$J$99:$J$109,MATCH(Display!B1704,Calc!$K$99:$K$109,0),1),#N/A)</f>
        <v>#N/A</v>
      </c>
    </row>
    <row r="1705" spans="2:6" x14ac:dyDescent="0.2">
      <c r="B1705" s="6">
        <f t="shared" si="30"/>
        <v>1702</v>
      </c>
      <c r="C1705" s="81" t="e">
        <f ca="1">VLOOKUP(B1705,Calc!$K$66:$L$76,2,FALSE)</f>
        <v>#N/A</v>
      </c>
      <c r="D1705" s="81" t="e">
        <f ca="1">VLOOKUP(B1705,Calc!$K$77:$L$87,2,FALSE)</f>
        <v>#N/A</v>
      </c>
      <c r="E1705" s="523" t="e">
        <f ca="1">VLOOKUP(B1705,Calc!$K$88:$L$98,2,FALSE)</f>
        <v>#N/A</v>
      </c>
      <c r="F1705" s="523" t="e">
        <f ca="1">IF(Errorhandling!$C$42,INDEX(Calc!$J$99:$J$109,MATCH(Display!B1705,Calc!$K$99:$K$109,0),1),#N/A)</f>
        <v>#N/A</v>
      </c>
    </row>
    <row r="1706" spans="2:6" x14ac:dyDescent="0.2">
      <c r="B1706" s="6">
        <f t="shared" si="30"/>
        <v>1703</v>
      </c>
      <c r="C1706" s="81" t="e">
        <f ca="1">VLOOKUP(B1706,Calc!$K$66:$L$76,2,FALSE)</f>
        <v>#N/A</v>
      </c>
      <c r="D1706" s="81" t="e">
        <f ca="1">VLOOKUP(B1706,Calc!$K$77:$L$87,2,FALSE)</f>
        <v>#N/A</v>
      </c>
      <c r="E1706" s="523" t="e">
        <f ca="1">VLOOKUP(B1706,Calc!$K$88:$L$98,2,FALSE)</f>
        <v>#N/A</v>
      </c>
      <c r="F1706" s="523" t="e">
        <f ca="1">IF(Errorhandling!$C$42,INDEX(Calc!$J$99:$J$109,MATCH(Display!B1706,Calc!$K$99:$K$109,0),1),#N/A)</f>
        <v>#N/A</v>
      </c>
    </row>
    <row r="1707" spans="2:6" x14ac:dyDescent="0.2">
      <c r="B1707" s="6">
        <f t="shared" si="30"/>
        <v>1704</v>
      </c>
      <c r="C1707" s="81" t="e">
        <f ca="1">VLOOKUP(B1707,Calc!$K$66:$L$76,2,FALSE)</f>
        <v>#N/A</v>
      </c>
      <c r="D1707" s="81" t="e">
        <f ca="1">VLOOKUP(B1707,Calc!$K$77:$L$87,2,FALSE)</f>
        <v>#N/A</v>
      </c>
      <c r="E1707" s="523" t="e">
        <f ca="1">VLOOKUP(B1707,Calc!$K$88:$L$98,2,FALSE)</f>
        <v>#N/A</v>
      </c>
      <c r="F1707" s="523" t="e">
        <f ca="1">IF(Errorhandling!$C$42,INDEX(Calc!$J$99:$J$109,MATCH(Display!B1707,Calc!$K$99:$K$109,0),1),#N/A)</f>
        <v>#N/A</v>
      </c>
    </row>
    <row r="1708" spans="2:6" x14ac:dyDescent="0.2">
      <c r="B1708" s="6">
        <f t="shared" si="30"/>
        <v>1705</v>
      </c>
      <c r="C1708" s="81" t="e">
        <f ca="1">VLOOKUP(B1708,Calc!$K$66:$L$76,2,FALSE)</f>
        <v>#N/A</v>
      </c>
      <c r="D1708" s="81" t="e">
        <f ca="1">VLOOKUP(B1708,Calc!$K$77:$L$87,2,FALSE)</f>
        <v>#N/A</v>
      </c>
      <c r="E1708" s="523" t="e">
        <f ca="1">VLOOKUP(B1708,Calc!$K$88:$L$98,2,FALSE)</f>
        <v>#N/A</v>
      </c>
      <c r="F1708" s="523" t="e">
        <f ca="1">IF(Errorhandling!$C$42,INDEX(Calc!$J$99:$J$109,MATCH(Display!B1708,Calc!$K$99:$K$109,0),1),#N/A)</f>
        <v>#N/A</v>
      </c>
    </row>
    <row r="1709" spans="2:6" x14ac:dyDescent="0.2">
      <c r="B1709" s="6">
        <f t="shared" si="30"/>
        <v>1706</v>
      </c>
      <c r="C1709" s="81" t="e">
        <f ca="1">VLOOKUP(B1709,Calc!$K$66:$L$76,2,FALSE)</f>
        <v>#N/A</v>
      </c>
      <c r="D1709" s="81" t="e">
        <f ca="1">VLOOKUP(B1709,Calc!$K$77:$L$87,2,FALSE)</f>
        <v>#N/A</v>
      </c>
      <c r="E1709" s="523" t="e">
        <f ca="1">VLOOKUP(B1709,Calc!$K$88:$L$98,2,FALSE)</f>
        <v>#N/A</v>
      </c>
      <c r="F1709" s="523" t="e">
        <f ca="1">IF(Errorhandling!$C$42,INDEX(Calc!$J$99:$J$109,MATCH(Display!B1709,Calc!$K$99:$K$109,0),1),#N/A)</f>
        <v>#N/A</v>
      </c>
    </row>
    <row r="1710" spans="2:6" x14ac:dyDescent="0.2">
      <c r="B1710" s="6">
        <f t="shared" si="30"/>
        <v>1707</v>
      </c>
      <c r="C1710" s="81" t="e">
        <f ca="1">VLOOKUP(B1710,Calc!$K$66:$L$76,2,FALSE)</f>
        <v>#N/A</v>
      </c>
      <c r="D1710" s="81" t="e">
        <f ca="1">VLOOKUP(B1710,Calc!$K$77:$L$87,2,FALSE)</f>
        <v>#N/A</v>
      </c>
      <c r="E1710" s="523" t="e">
        <f ca="1">VLOOKUP(B1710,Calc!$K$88:$L$98,2,FALSE)</f>
        <v>#N/A</v>
      </c>
      <c r="F1710" s="523" t="e">
        <f ca="1">IF(Errorhandling!$C$42,INDEX(Calc!$J$99:$J$109,MATCH(Display!B1710,Calc!$K$99:$K$109,0),1),#N/A)</f>
        <v>#N/A</v>
      </c>
    </row>
    <row r="1711" spans="2:6" x14ac:dyDescent="0.2">
      <c r="B1711" s="6">
        <f t="shared" si="30"/>
        <v>1708</v>
      </c>
      <c r="C1711" s="81" t="e">
        <f ca="1">VLOOKUP(B1711,Calc!$K$66:$L$76,2,FALSE)</f>
        <v>#N/A</v>
      </c>
      <c r="D1711" s="81" t="e">
        <f ca="1">VLOOKUP(B1711,Calc!$K$77:$L$87,2,FALSE)</f>
        <v>#N/A</v>
      </c>
      <c r="E1711" s="523" t="e">
        <f ca="1">VLOOKUP(B1711,Calc!$K$88:$L$98,2,FALSE)</f>
        <v>#N/A</v>
      </c>
      <c r="F1711" s="523" t="e">
        <f ca="1">IF(Errorhandling!$C$42,INDEX(Calc!$J$99:$J$109,MATCH(Display!B1711,Calc!$K$99:$K$109,0),1),#N/A)</f>
        <v>#N/A</v>
      </c>
    </row>
    <row r="1712" spans="2:6" x14ac:dyDescent="0.2">
      <c r="B1712" s="6">
        <f t="shared" si="30"/>
        <v>1709</v>
      </c>
      <c r="C1712" s="81" t="e">
        <f ca="1">VLOOKUP(B1712,Calc!$K$66:$L$76,2,FALSE)</f>
        <v>#N/A</v>
      </c>
      <c r="D1712" s="81" t="e">
        <f ca="1">VLOOKUP(B1712,Calc!$K$77:$L$87,2,FALSE)</f>
        <v>#N/A</v>
      </c>
      <c r="E1712" s="523" t="e">
        <f ca="1">VLOOKUP(B1712,Calc!$K$88:$L$98,2,FALSE)</f>
        <v>#N/A</v>
      </c>
      <c r="F1712" s="523" t="e">
        <f ca="1">IF(Errorhandling!$C$42,INDEX(Calc!$J$99:$J$109,MATCH(Display!B1712,Calc!$K$99:$K$109,0),1),#N/A)</f>
        <v>#N/A</v>
      </c>
    </row>
    <row r="1713" spans="2:6" x14ac:dyDescent="0.2">
      <c r="B1713" s="6">
        <f t="shared" si="30"/>
        <v>1710</v>
      </c>
      <c r="C1713" s="81" t="e">
        <f ca="1">VLOOKUP(B1713,Calc!$K$66:$L$76,2,FALSE)</f>
        <v>#N/A</v>
      </c>
      <c r="D1713" s="81" t="e">
        <f ca="1">VLOOKUP(B1713,Calc!$K$77:$L$87,2,FALSE)</f>
        <v>#N/A</v>
      </c>
      <c r="E1713" s="523" t="e">
        <f ca="1">VLOOKUP(B1713,Calc!$K$88:$L$98,2,FALSE)</f>
        <v>#N/A</v>
      </c>
      <c r="F1713" s="523" t="e">
        <f ca="1">IF(Errorhandling!$C$42,INDEX(Calc!$J$99:$J$109,MATCH(Display!B1713,Calc!$K$99:$K$109,0),1),#N/A)</f>
        <v>#N/A</v>
      </c>
    </row>
    <row r="1714" spans="2:6" x14ac:dyDescent="0.2">
      <c r="B1714" s="6">
        <f t="shared" si="30"/>
        <v>1711</v>
      </c>
      <c r="C1714" s="81" t="e">
        <f ca="1">VLOOKUP(B1714,Calc!$K$66:$L$76,2,FALSE)</f>
        <v>#N/A</v>
      </c>
      <c r="D1714" s="81" t="e">
        <f ca="1">VLOOKUP(B1714,Calc!$K$77:$L$87,2,FALSE)</f>
        <v>#N/A</v>
      </c>
      <c r="E1714" s="523" t="e">
        <f ca="1">VLOOKUP(B1714,Calc!$K$88:$L$98,2,FALSE)</f>
        <v>#N/A</v>
      </c>
      <c r="F1714" s="523" t="e">
        <f ca="1">IF(Errorhandling!$C$42,INDEX(Calc!$J$99:$J$109,MATCH(Display!B1714,Calc!$K$99:$K$109,0),1),#N/A)</f>
        <v>#N/A</v>
      </c>
    </row>
    <row r="1715" spans="2:6" x14ac:dyDescent="0.2">
      <c r="B1715" s="6">
        <f t="shared" si="30"/>
        <v>1712</v>
      </c>
      <c r="C1715" s="81" t="e">
        <f ca="1">VLOOKUP(B1715,Calc!$K$66:$L$76,2,FALSE)</f>
        <v>#N/A</v>
      </c>
      <c r="D1715" s="81" t="e">
        <f ca="1">VLOOKUP(B1715,Calc!$K$77:$L$87,2,FALSE)</f>
        <v>#N/A</v>
      </c>
      <c r="E1715" s="523" t="e">
        <f ca="1">VLOOKUP(B1715,Calc!$K$88:$L$98,2,FALSE)</f>
        <v>#N/A</v>
      </c>
      <c r="F1715" s="523" t="e">
        <f ca="1">IF(Errorhandling!$C$42,INDEX(Calc!$J$99:$J$109,MATCH(Display!B1715,Calc!$K$99:$K$109,0),1),#N/A)</f>
        <v>#N/A</v>
      </c>
    </row>
    <row r="1716" spans="2:6" x14ac:dyDescent="0.2">
      <c r="B1716" s="6">
        <f t="shared" si="30"/>
        <v>1713</v>
      </c>
      <c r="C1716" s="81" t="e">
        <f ca="1">VLOOKUP(B1716,Calc!$K$66:$L$76,2,FALSE)</f>
        <v>#N/A</v>
      </c>
      <c r="D1716" s="81" t="e">
        <f ca="1">VLOOKUP(B1716,Calc!$K$77:$L$87,2,FALSE)</f>
        <v>#N/A</v>
      </c>
      <c r="E1716" s="523" t="e">
        <f ca="1">VLOOKUP(B1716,Calc!$K$88:$L$98,2,FALSE)</f>
        <v>#N/A</v>
      </c>
      <c r="F1716" s="523" t="e">
        <f ca="1">IF(Errorhandling!$C$42,INDEX(Calc!$J$99:$J$109,MATCH(Display!B1716,Calc!$K$99:$K$109,0),1),#N/A)</f>
        <v>#N/A</v>
      </c>
    </row>
    <row r="1717" spans="2:6" x14ac:dyDescent="0.2">
      <c r="B1717" s="6">
        <f t="shared" si="30"/>
        <v>1714</v>
      </c>
      <c r="C1717" s="81" t="e">
        <f ca="1">VLOOKUP(B1717,Calc!$K$66:$L$76,2,FALSE)</f>
        <v>#N/A</v>
      </c>
      <c r="D1717" s="81" t="e">
        <f ca="1">VLOOKUP(B1717,Calc!$K$77:$L$87,2,FALSE)</f>
        <v>#N/A</v>
      </c>
      <c r="E1717" s="523" t="e">
        <f ca="1">VLOOKUP(B1717,Calc!$K$88:$L$98,2,FALSE)</f>
        <v>#N/A</v>
      </c>
      <c r="F1717" s="523" t="e">
        <f ca="1">IF(Errorhandling!$C$42,INDEX(Calc!$J$99:$J$109,MATCH(Display!B1717,Calc!$K$99:$K$109,0),1),#N/A)</f>
        <v>#N/A</v>
      </c>
    </row>
    <row r="1718" spans="2:6" x14ac:dyDescent="0.2">
      <c r="B1718" s="6">
        <f t="shared" si="30"/>
        <v>1715</v>
      </c>
      <c r="C1718" s="81" t="e">
        <f ca="1">VLOOKUP(B1718,Calc!$K$66:$L$76,2,FALSE)</f>
        <v>#N/A</v>
      </c>
      <c r="D1718" s="81" t="e">
        <f ca="1">VLOOKUP(B1718,Calc!$K$77:$L$87,2,FALSE)</f>
        <v>#N/A</v>
      </c>
      <c r="E1718" s="523" t="e">
        <f ca="1">VLOOKUP(B1718,Calc!$K$88:$L$98,2,FALSE)</f>
        <v>#N/A</v>
      </c>
      <c r="F1718" s="523" t="e">
        <f ca="1">IF(Errorhandling!$C$42,INDEX(Calc!$J$99:$J$109,MATCH(Display!B1718,Calc!$K$99:$K$109,0),1),#N/A)</f>
        <v>#N/A</v>
      </c>
    </row>
    <row r="1719" spans="2:6" x14ac:dyDescent="0.2">
      <c r="B1719" s="6">
        <f t="shared" si="30"/>
        <v>1716</v>
      </c>
      <c r="C1719" s="81" t="e">
        <f ca="1">VLOOKUP(B1719,Calc!$K$66:$L$76,2,FALSE)</f>
        <v>#N/A</v>
      </c>
      <c r="D1719" s="81" t="e">
        <f ca="1">VLOOKUP(B1719,Calc!$K$77:$L$87,2,FALSE)</f>
        <v>#N/A</v>
      </c>
      <c r="E1719" s="523" t="e">
        <f ca="1">VLOOKUP(B1719,Calc!$K$88:$L$98,2,FALSE)</f>
        <v>#N/A</v>
      </c>
      <c r="F1719" s="523" t="e">
        <f ca="1">IF(Errorhandling!$C$42,INDEX(Calc!$J$99:$J$109,MATCH(Display!B1719,Calc!$K$99:$K$109,0),1),#N/A)</f>
        <v>#N/A</v>
      </c>
    </row>
    <row r="1720" spans="2:6" x14ac:dyDescent="0.2">
      <c r="B1720" s="6">
        <f t="shared" si="30"/>
        <v>1717</v>
      </c>
      <c r="C1720" s="81" t="e">
        <f ca="1">VLOOKUP(B1720,Calc!$K$66:$L$76,2,FALSE)</f>
        <v>#N/A</v>
      </c>
      <c r="D1720" s="81" t="e">
        <f ca="1">VLOOKUP(B1720,Calc!$K$77:$L$87,2,FALSE)</f>
        <v>#N/A</v>
      </c>
      <c r="E1720" s="523" t="e">
        <f ca="1">VLOOKUP(B1720,Calc!$K$88:$L$98,2,FALSE)</f>
        <v>#N/A</v>
      </c>
      <c r="F1720" s="523" t="e">
        <f ca="1">IF(Errorhandling!$C$42,INDEX(Calc!$J$99:$J$109,MATCH(Display!B1720,Calc!$K$99:$K$109,0),1),#N/A)</f>
        <v>#N/A</v>
      </c>
    </row>
    <row r="1721" spans="2:6" x14ac:dyDescent="0.2">
      <c r="B1721" s="6">
        <f t="shared" si="30"/>
        <v>1718</v>
      </c>
      <c r="C1721" s="81" t="e">
        <f ca="1">VLOOKUP(B1721,Calc!$K$66:$L$76,2,FALSE)</f>
        <v>#N/A</v>
      </c>
      <c r="D1721" s="81" t="e">
        <f ca="1">VLOOKUP(B1721,Calc!$K$77:$L$87,2,FALSE)</f>
        <v>#N/A</v>
      </c>
      <c r="E1721" s="523" t="e">
        <f ca="1">VLOOKUP(B1721,Calc!$K$88:$L$98,2,FALSE)</f>
        <v>#N/A</v>
      </c>
      <c r="F1721" s="523" t="e">
        <f ca="1">IF(Errorhandling!$C$42,INDEX(Calc!$J$99:$J$109,MATCH(Display!B1721,Calc!$K$99:$K$109,0),1),#N/A)</f>
        <v>#N/A</v>
      </c>
    </row>
    <row r="1722" spans="2:6" x14ac:dyDescent="0.2">
      <c r="B1722" s="6">
        <f t="shared" si="30"/>
        <v>1719</v>
      </c>
      <c r="C1722" s="81" t="e">
        <f ca="1">VLOOKUP(B1722,Calc!$K$66:$L$76,2,FALSE)</f>
        <v>#N/A</v>
      </c>
      <c r="D1722" s="81" t="e">
        <f ca="1">VLOOKUP(B1722,Calc!$K$77:$L$87,2,FALSE)</f>
        <v>#N/A</v>
      </c>
      <c r="E1722" s="523" t="e">
        <f ca="1">VLOOKUP(B1722,Calc!$K$88:$L$98,2,FALSE)</f>
        <v>#N/A</v>
      </c>
      <c r="F1722" s="523" t="e">
        <f ca="1">IF(Errorhandling!$C$42,INDEX(Calc!$J$99:$J$109,MATCH(Display!B1722,Calc!$K$99:$K$109,0),1),#N/A)</f>
        <v>#N/A</v>
      </c>
    </row>
    <row r="1723" spans="2:6" x14ac:dyDescent="0.2">
      <c r="B1723" s="6">
        <f t="shared" si="30"/>
        <v>1720</v>
      </c>
      <c r="C1723" s="81" t="e">
        <f ca="1">VLOOKUP(B1723,Calc!$K$66:$L$76,2,FALSE)</f>
        <v>#N/A</v>
      </c>
      <c r="D1723" s="81" t="e">
        <f ca="1">VLOOKUP(B1723,Calc!$K$77:$L$87,2,FALSE)</f>
        <v>#N/A</v>
      </c>
      <c r="E1723" s="523" t="e">
        <f ca="1">VLOOKUP(B1723,Calc!$K$88:$L$98,2,FALSE)</f>
        <v>#N/A</v>
      </c>
      <c r="F1723" s="523" t="e">
        <f ca="1">IF(Errorhandling!$C$42,INDEX(Calc!$J$99:$J$109,MATCH(Display!B1723,Calc!$K$99:$K$109,0),1),#N/A)</f>
        <v>#N/A</v>
      </c>
    </row>
    <row r="1724" spans="2:6" x14ac:dyDescent="0.2">
      <c r="B1724" s="6">
        <f t="shared" si="30"/>
        <v>1721</v>
      </c>
      <c r="C1724" s="81" t="e">
        <f ca="1">VLOOKUP(B1724,Calc!$K$66:$L$76,2,FALSE)</f>
        <v>#N/A</v>
      </c>
      <c r="D1724" s="81" t="e">
        <f ca="1">VLOOKUP(B1724,Calc!$K$77:$L$87,2,FALSE)</f>
        <v>#N/A</v>
      </c>
      <c r="E1724" s="523" t="e">
        <f ca="1">VLOOKUP(B1724,Calc!$K$88:$L$98,2,FALSE)</f>
        <v>#N/A</v>
      </c>
      <c r="F1724" s="523" t="e">
        <f ca="1">IF(Errorhandling!$C$42,INDEX(Calc!$J$99:$J$109,MATCH(Display!B1724,Calc!$K$99:$K$109,0),1),#N/A)</f>
        <v>#N/A</v>
      </c>
    </row>
    <row r="1725" spans="2:6" x14ac:dyDescent="0.2">
      <c r="B1725" s="6">
        <f t="shared" si="30"/>
        <v>1722</v>
      </c>
      <c r="C1725" s="81" t="e">
        <f ca="1">VLOOKUP(B1725,Calc!$K$66:$L$76,2,FALSE)</f>
        <v>#N/A</v>
      </c>
      <c r="D1725" s="81" t="e">
        <f ca="1">VLOOKUP(B1725,Calc!$K$77:$L$87,2,FALSE)</f>
        <v>#N/A</v>
      </c>
      <c r="E1725" s="523" t="e">
        <f ca="1">VLOOKUP(B1725,Calc!$K$88:$L$98,2,FALSE)</f>
        <v>#N/A</v>
      </c>
      <c r="F1725" s="523" t="e">
        <f ca="1">IF(Errorhandling!$C$42,INDEX(Calc!$J$99:$J$109,MATCH(Display!B1725,Calc!$K$99:$K$109,0),1),#N/A)</f>
        <v>#N/A</v>
      </c>
    </row>
    <row r="1726" spans="2:6" x14ac:dyDescent="0.2">
      <c r="B1726" s="6">
        <f t="shared" si="30"/>
        <v>1723</v>
      </c>
      <c r="C1726" s="81" t="e">
        <f ca="1">VLOOKUP(B1726,Calc!$K$66:$L$76,2,FALSE)</f>
        <v>#N/A</v>
      </c>
      <c r="D1726" s="81" t="e">
        <f ca="1">VLOOKUP(B1726,Calc!$K$77:$L$87,2,FALSE)</f>
        <v>#N/A</v>
      </c>
      <c r="E1726" s="523" t="e">
        <f ca="1">VLOOKUP(B1726,Calc!$K$88:$L$98,2,FALSE)</f>
        <v>#N/A</v>
      </c>
      <c r="F1726" s="523" t="e">
        <f ca="1">IF(Errorhandling!$C$42,INDEX(Calc!$J$99:$J$109,MATCH(Display!B1726,Calc!$K$99:$K$109,0),1),#N/A)</f>
        <v>#N/A</v>
      </c>
    </row>
    <row r="1727" spans="2:6" x14ac:dyDescent="0.2">
      <c r="B1727" s="6">
        <f t="shared" si="30"/>
        <v>1724</v>
      </c>
      <c r="C1727" s="81" t="e">
        <f ca="1">VLOOKUP(B1727,Calc!$K$66:$L$76,2,FALSE)</f>
        <v>#N/A</v>
      </c>
      <c r="D1727" s="81" t="e">
        <f ca="1">VLOOKUP(B1727,Calc!$K$77:$L$87,2,FALSE)</f>
        <v>#N/A</v>
      </c>
      <c r="E1727" s="523" t="e">
        <f ca="1">VLOOKUP(B1727,Calc!$K$88:$L$98,2,FALSE)</f>
        <v>#N/A</v>
      </c>
      <c r="F1727" s="523" t="e">
        <f ca="1">IF(Errorhandling!$C$42,INDEX(Calc!$J$99:$J$109,MATCH(Display!B1727,Calc!$K$99:$K$109,0),1),#N/A)</f>
        <v>#N/A</v>
      </c>
    </row>
    <row r="1728" spans="2:6" x14ac:dyDescent="0.2">
      <c r="B1728" s="6">
        <f t="shared" si="30"/>
        <v>1725</v>
      </c>
      <c r="C1728" s="81" t="e">
        <f ca="1">VLOOKUP(B1728,Calc!$K$66:$L$76,2,FALSE)</f>
        <v>#N/A</v>
      </c>
      <c r="D1728" s="81" t="e">
        <f ca="1">VLOOKUP(B1728,Calc!$K$77:$L$87,2,FALSE)</f>
        <v>#N/A</v>
      </c>
      <c r="E1728" s="523" t="e">
        <f ca="1">VLOOKUP(B1728,Calc!$K$88:$L$98,2,FALSE)</f>
        <v>#N/A</v>
      </c>
      <c r="F1728" s="523" t="e">
        <f ca="1">IF(Errorhandling!$C$42,INDEX(Calc!$J$99:$J$109,MATCH(Display!B1728,Calc!$K$99:$K$109,0),1),#N/A)</f>
        <v>#N/A</v>
      </c>
    </row>
    <row r="1729" spans="2:6" x14ac:dyDescent="0.2">
      <c r="B1729" s="6">
        <f t="shared" si="30"/>
        <v>1726</v>
      </c>
      <c r="C1729" s="81" t="e">
        <f ca="1">VLOOKUP(B1729,Calc!$K$66:$L$76,2,FALSE)</f>
        <v>#N/A</v>
      </c>
      <c r="D1729" s="81" t="e">
        <f ca="1">VLOOKUP(B1729,Calc!$K$77:$L$87,2,FALSE)</f>
        <v>#N/A</v>
      </c>
      <c r="E1729" s="523" t="e">
        <f ca="1">VLOOKUP(B1729,Calc!$K$88:$L$98,2,FALSE)</f>
        <v>#N/A</v>
      </c>
      <c r="F1729" s="523" t="e">
        <f ca="1">IF(Errorhandling!$C$42,INDEX(Calc!$J$99:$J$109,MATCH(Display!B1729,Calc!$K$99:$K$109,0),1),#N/A)</f>
        <v>#N/A</v>
      </c>
    </row>
    <row r="1730" spans="2:6" x14ac:dyDescent="0.2">
      <c r="B1730" s="6">
        <f t="shared" si="30"/>
        <v>1727</v>
      </c>
      <c r="C1730" s="81" t="e">
        <f ca="1">VLOOKUP(B1730,Calc!$K$66:$L$76,2,FALSE)</f>
        <v>#N/A</v>
      </c>
      <c r="D1730" s="81" t="e">
        <f ca="1">VLOOKUP(B1730,Calc!$K$77:$L$87,2,FALSE)</f>
        <v>#N/A</v>
      </c>
      <c r="E1730" s="523" t="e">
        <f ca="1">VLOOKUP(B1730,Calc!$K$88:$L$98,2,FALSE)</f>
        <v>#N/A</v>
      </c>
      <c r="F1730" s="523" t="e">
        <f ca="1">IF(Errorhandling!$C$42,INDEX(Calc!$J$99:$J$109,MATCH(Display!B1730,Calc!$K$99:$K$109,0),1),#N/A)</f>
        <v>#N/A</v>
      </c>
    </row>
    <row r="1731" spans="2:6" x14ac:dyDescent="0.2">
      <c r="B1731" s="6">
        <f t="shared" si="30"/>
        <v>1728</v>
      </c>
      <c r="C1731" s="81" t="e">
        <f ca="1">VLOOKUP(B1731,Calc!$K$66:$L$76,2,FALSE)</f>
        <v>#N/A</v>
      </c>
      <c r="D1731" s="81" t="e">
        <f ca="1">VLOOKUP(B1731,Calc!$K$77:$L$87,2,FALSE)</f>
        <v>#N/A</v>
      </c>
      <c r="E1731" s="523" t="e">
        <f ca="1">VLOOKUP(B1731,Calc!$K$88:$L$98,2,FALSE)</f>
        <v>#N/A</v>
      </c>
      <c r="F1731" s="523" t="e">
        <f ca="1">IF(Errorhandling!$C$42,INDEX(Calc!$J$99:$J$109,MATCH(Display!B1731,Calc!$K$99:$K$109,0),1),#N/A)</f>
        <v>#N/A</v>
      </c>
    </row>
    <row r="1732" spans="2:6" x14ac:dyDescent="0.2">
      <c r="B1732" s="6">
        <f t="shared" si="30"/>
        <v>1729</v>
      </c>
      <c r="C1732" s="81" t="e">
        <f ca="1">VLOOKUP(B1732,Calc!$K$66:$L$76,2,FALSE)</f>
        <v>#N/A</v>
      </c>
      <c r="D1732" s="81" t="e">
        <f ca="1">VLOOKUP(B1732,Calc!$K$77:$L$87,2,FALSE)</f>
        <v>#N/A</v>
      </c>
      <c r="E1732" s="523" t="e">
        <f ca="1">VLOOKUP(B1732,Calc!$K$88:$L$98,2,FALSE)</f>
        <v>#N/A</v>
      </c>
      <c r="F1732" s="523" t="e">
        <f ca="1">IF(Errorhandling!$C$42,INDEX(Calc!$J$99:$J$109,MATCH(Display!B1732,Calc!$K$99:$K$109,0),1),#N/A)</f>
        <v>#N/A</v>
      </c>
    </row>
    <row r="1733" spans="2:6" x14ac:dyDescent="0.2">
      <c r="B1733" s="6">
        <f t="shared" si="30"/>
        <v>1730</v>
      </c>
      <c r="C1733" s="81" t="e">
        <f ca="1">VLOOKUP(B1733,Calc!$K$66:$L$76,2,FALSE)</f>
        <v>#N/A</v>
      </c>
      <c r="D1733" s="81" t="e">
        <f ca="1">VLOOKUP(B1733,Calc!$K$77:$L$87,2,FALSE)</f>
        <v>#N/A</v>
      </c>
      <c r="E1733" s="523" t="e">
        <f ca="1">VLOOKUP(B1733,Calc!$K$88:$L$98,2,FALSE)</f>
        <v>#N/A</v>
      </c>
      <c r="F1733" s="523" t="e">
        <f ca="1">IF(Errorhandling!$C$42,INDEX(Calc!$J$99:$J$109,MATCH(Display!B1733,Calc!$K$99:$K$109,0),1),#N/A)</f>
        <v>#N/A</v>
      </c>
    </row>
    <row r="1734" spans="2:6" x14ac:dyDescent="0.2">
      <c r="B1734" s="6">
        <f t="shared" si="30"/>
        <v>1731</v>
      </c>
      <c r="C1734" s="81" t="e">
        <f ca="1">VLOOKUP(B1734,Calc!$K$66:$L$76,2,FALSE)</f>
        <v>#N/A</v>
      </c>
      <c r="D1734" s="81" t="e">
        <f ca="1">VLOOKUP(B1734,Calc!$K$77:$L$87,2,FALSE)</f>
        <v>#N/A</v>
      </c>
      <c r="E1734" s="523" t="e">
        <f ca="1">VLOOKUP(B1734,Calc!$K$88:$L$98,2,FALSE)</f>
        <v>#N/A</v>
      </c>
      <c r="F1734" s="523" t="e">
        <f ca="1">IF(Errorhandling!$C$42,INDEX(Calc!$J$99:$J$109,MATCH(Display!B1734,Calc!$K$99:$K$109,0),1),#N/A)</f>
        <v>#N/A</v>
      </c>
    </row>
    <row r="1735" spans="2:6" x14ac:dyDescent="0.2">
      <c r="B1735" s="6">
        <f t="shared" ref="B1735:B1736" si="31">1+B1734</f>
        <v>1732</v>
      </c>
      <c r="C1735" s="81" t="e">
        <f ca="1">VLOOKUP(B1735,Calc!$K$66:$L$76,2,FALSE)</f>
        <v>#N/A</v>
      </c>
      <c r="D1735" s="81" t="e">
        <f ca="1">VLOOKUP(B1735,Calc!$K$77:$L$87,2,FALSE)</f>
        <v>#N/A</v>
      </c>
      <c r="E1735" s="523" t="e">
        <f ca="1">VLOOKUP(B1735,Calc!$K$88:$L$98,2,FALSE)</f>
        <v>#N/A</v>
      </c>
      <c r="F1735" s="523" t="e">
        <f ca="1">IF(Errorhandling!$C$42,INDEX(Calc!$J$99:$J$109,MATCH(Display!B1735,Calc!$K$99:$K$109,0),1),#N/A)</f>
        <v>#N/A</v>
      </c>
    </row>
    <row r="1736" spans="2:6" x14ac:dyDescent="0.2">
      <c r="B1736" s="6">
        <f t="shared" si="31"/>
        <v>1733</v>
      </c>
      <c r="C1736" s="81" t="e">
        <f ca="1">VLOOKUP(B1736,Calc!$K$66:$L$76,2,FALSE)</f>
        <v>#N/A</v>
      </c>
      <c r="D1736" s="81" t="e">
        <f ca="1">VLOOKUP(B1736,Calc!$K$77:$L$87,2,FALSE)</f>
        <v>#N/A</v>
      </c>
      <c r="E1736" s="523" t="e">
        <f ca="1">VLOOKUP(B1736,Calc!$K$88:$L$98,2,FALSE)</f>
        <v>#N/A</v>
      </c>
      <c r="F1736" s="523" t="e">
        <f ca="1">IF(Errorhandling!$C$42,INDEX(Calc!$J$99:$J$109,MATCH(Display!B1736,Calc!$K$99:$K$109,0),1),#N/A)</f>
        <v>#N/A</v>
      </c>
    </row>
    <row r="1737" spans="2:6" x14ac:dyDescent="0.2">
      <c r="B1737" s="24"/>
      <c r="C1737" s="90"/>
      <c r="D1737" s="90"/>
      <c r="E1737" s="90"/>
      <c r="F1737" s="90"/>
    </row>
    <row r="1738" spans="2:6" x14ac:dyDescent="0.2">
      <c r="B1738" s="24"/>
      <c r="C1738" s="90"/>
      <c r="D1738" s="90"/>
      <c r="E1738" s="90"/>
      <c r="F1738" s="90"/>
    </row>
    <row r="1739" spans="2:6" x14ac:dyDescent="0.2">
      <c r="B1739" s="24"/>
      <c r="C1739" s="90"/>
      <c r="D1739" s="90"/>
      <c r="E1739" s="90"/>
      <c r="F1739" s="90"/>
    </row>
    <row r="1740" spans="2:6" x14ac:dyDescent="0.2">
      <c r="B1740" s="24"/>
      <c r="C1740" s="90"/>
      <c r="D1740" s="90"/>
      <c r="E1740" s="90"/>
      <c r="F1740" s="90"/>
    </row>
    <row r="1741" spans="2:6" x14ac:dyDescent="0.2">
      <c r="B1741" s="24"/>
      <c r="C1741" s="90"/>
      <c r="D1741" s="90"/>
      <c r="E1741" s="90"/>
      <c r="F1741" s="90"/>
    </row>
    <row r="1742" spans="2:6" x14ac:dyDescent="0.2">
      <c r="B1742" s="24"/>
      <c r="C1742" s="90"/>
      <c r="D1742" s="90"/>
      <c r="E1742" s="90"/>
      <c r="F1742" s="90"/>
    </row>
    <row r="1743" spans="2:6" x14ac:dyDescent="0.2">
      <c r="B1743" s="24"/>
      <c r="C1743" s="90"/>
      <c r="D1743" s="90"/>
      <c r="E1743" s="90"/>
      <c r="F1743" s="90"/>
    </row>
    <row r="1744" spans="2:6" x14ac:dyDescent="0.2">
      <c r="B1744" s="24"/>
      <c r="C1744" s="90"/>
      <c r="D1744" s="90"/>
      <c r="E1744" s="90"/>
      <c r="F1744" s="90"/>
    </row>
    <row r="1745" spans="2:6" x14ac:dyDescent="0.2">
      <c r="B1745" s="24"/>
      <c r="C1745" s="90"/>
      <c r="D1745" s="90"/>
      <c r="E1745" s="90"/>
      <c r="F1745" s="90"/>
    </row>
    <row r="1746" spans="2:6" x14ac:dyDescent="0.2">
      <c r="B1746" s="24"/>
      <c r="C1746" s="90"/>
      <c r="D1746" s="90"/>
      <c r="E1746" s="90"/>
      <c r="F1746" s="90"/>
    </row>
    <row r="1747" spans="2:6" x14ac:dyDescent="0.2">
      <c r="B1747" s="24"/>
      <c r="C1747" s="90"/>
      <c r="D1747" s="90"/>
      <c r="E1747" s="90"/>
      <c r="F1747" s="90"/>
    </row>
    <row r="1748" spans="2:6" x14ac:dyDescent="0.2">
      <c r="B1748" s="24"/>
      <c r="C1748" s="90"/>
      <c r="D1748" s="90"/>
      <c r="E1748" s="90"/>
      <c r="F1748" s="90"/>
    </row>
    <row r="1749" spans="2:6" x14ac:dyDescent="0.2">
      <c r="B1749" s="24"/>
      <c r="C1749" s="90"/>
      <c r="D1749" s="90"/>
      <c r="E1749" s="90"/>
      <c r="F1749" s="90"/>
    </row>
    <row r="1750" spans="2:6" x14ac:dyDescent="0.2">
      <c r="B1750" s="24"/>
      <c r="C1750" s="90"/>
      <c r="D1750" s="90"/>
      <c r="E1750" s="90"/>
      <c r="F1750" s="90"/>
    </row>
    <row r="1751" spans="2:6" x14ac:dyDescent="0.2">
      <c r="B1751" s="24"/>
      <c r="C1751" s="90"/>
      <c r="D1751" s="90"/>
      <c r="E1751" s="90"/>
      <c r="F1751" s="90"/>
    </row>
    <row r="1752" spans="2:6" x14ac:dyDescent="0.2">
      <c r="B1752" s="24"/>
      <c r="C1752" s="90"/>
      <c r="D1752" s="90"/>
      <c r="E1752" s="90"/>
      <c r="F1752" s="90"/>
    </row>
    <row r="1753" spans="2:6" x14ac:dyDescent="0.2">
      <c r="B1753" s="24"/>
      <c r="C1753" s="90"/>
      <c r="D1753" s="90"/>
      <c r="E1753" s="90"/>
      <c r="F1753" s="90"/>
    </row>
    <row r="1754" spans="2:6" x14ac:dyDescent="0.2">
      <c r="B1754" s="24"/>
      <c r="C1754" s="90"/>
      <c r="D1754" s="90"/>
      <c r="E1754" s="90"/>
      <c r="F1754" s="90"/>
    </row>
    <row r="1755" spans="2:6" x14ac:dyDescent="0.2">
      <c r="B1755" s="24"/>
      <c r="C1755" s="90"/>
      <c r="D1755" s="90"/>
      <c r="E1755" s="90"/>
      <c r="F1755" s="90"/>
    </row>
    <row r="1756" spans="2:6" x14ac:dyDescent="0.2">
      <c r="B1756" s="24"/>
      <c r="C1756" s="90"/>
      <c r="D1756" s="90"/>
      <c r="E1756" s="90"/>
      <c r="F1756" s="90"/>
    </row>
    <row r="1757" spans="2:6" x14ac:dyDescent="0.2">
      <c r="B1757" s="24"/>
      <c r="C1757" s="90"/>
      <c r="D1757" s="90"/>
      <c r="E1757" s="90"/>
      <c r="F1757" s="90"/>
    </row>
    <row r="1758" spans="2:6" x14ac:dyDescent="0.2">
      <c r="B1758" s="24"/>
      <c r="C1758" s="90"/>
      <c r="D1758" s="90"/>
      <c r="E1758" s="90"/>
      <c r="F1758" s="90"/>
    </row>
    <row r="1759" spans="2:6" x14ac:dyDescent="0.2">
      <c r="B1759" s="24"/>
      <c r="C1759" s="90"/>
      <c r="D1759" s="90"/>
      <c r="E1759" s="90"/>
      <c r="F1759" s="90"/>
    </row>
    <row r="1760" spans="2:6" x14ac:dyDescent="0.2">
      <c r="B1760" s="24"/>
      <c r="C1760" s="90"/>
      <c r="D1760" s="90"/>
      <c r="E1760" s="90"/>
      <c r="F1760" s="90"/>
    </row>
    <row r="1761" spans="2:6" x14ac:dyDescent="0.2">
      <c r="B1761" s="24"/>
      <c r="C1761" s="90"/>
      <c r="D1761" s="90"/>
      <c r="E1761" s="90"/>
      <c r="F1761" s="90"/>
    </row>
    <row r="1762" spans="2:6" x14ac:dyDescent="0.2">
      <c r="B1762" s="24"/>
      <c r="C1762" s="90"/>
      <c r="D1762" s="90"/>
      <c r="E1762" s="90"/>
      <c r="F1762" s="90"/>
    </row>
    <row r="1763" spans="2:6" x14ac:dyDescent="0.2">
      <c r="B1763" s="24"/>
      <c r="C1763" s="90"/>
      <c r="D1763" s="90"/>
      <c r="E1763" s="90"/>
      <c r="F1763" s="90"/>
    </row>
    <row r="1764" spans="2:6" x14ac:dyDescent="0.2">
      <c r="B1764" s="24"/>
      <c r="C1764" s="90"/>
      <c r="D1764" s="90"/>
      <c r="E1764" s="90"/>
      <c r="F1764" s="90"/>
    </row>
    <row r="1765" spans="2:6" x14ac:dyDescent="0.2">
      <c r="B1765" s="24"/>
      <c r="C1765" s="90"/>
      <c r="D1765" s="90"/>
      <c r="E1765" s="90"/>
      <c r="F1765" s="90"/>
    </row>
    <row r="1766" spans="2:6" x14ac:dyDescent="0.2">
      <c r="B1766" s="24"/>
      <c r="C1766" s="90"/>
      <c r="D1766" s="90"/>
      <c r="E1766" s="90"/>
      <c r="F1766" s="90"/>
    </row>
    <row r="1767" spans="2:6" x14ac:dyDescent="0.2">
      <c r="B1767" s="24"/>
      <c r="C1767" s="90"/>
      <c r="D1767" s="90"/>
      <c r="E1767" s="90"/>
      <c r="F1767" s="90"/>
    </row>
    <row r="1768" spans="2:6" x14ac:dyDescent="0.2">
      <c r="B1768" s="24"/>
      <c r="C1768" s="90"/>
      <c r="D1768" s="90"/>
      <c r="E1768" s="90"/>
      <c r="F1768" s="90"/>
    </row>
    <row r="1769" spans="2:6" x14ac:dyDescent="0.2">
      <c r="B1769" s="24"/>
      <c r="C1769" s="90"/>
      <c r="D1769" s="90"/>
      <c r="E1769" s="90"/>
      <c r="F1769" s="90"/>
    </row>
    <row r="1770" spans="2:6" x14ac:dyDescent="0.2">
      <c r="B1770" s="24"/>
      <c r="C1770" s="90"/>
      <c r="D1770" s="90"/>
      <c r="E1770" s="90"/>
      <c r="F1770" s="90"/>
    </row>
    <row r="1771" spans="2:6" x14ac:dyDescent="0.2">
      <c r="B1771" s="24"/>
      <c r="C1771" s="90"/>
      <c r="D1771" s="90"/>
      <c r="E1771" s="90"/>
      <c r="F1771" s="90"/>
    </row>
    <row r="1772" spans="2:6" x14ac:dyDescent="0.2">
      <c r="B1772" s="24"/>
      <c r="C1772" s="90"/>
      <c r="D1772" s="90"/>
      <c r="E1772" s="90"/>
      <c r="F1772" s="90"/>
    </row>
    <row r="1773" spans="2:6" x14ac:dyDescent="0.2">
      <c r="B1773" s="24"/>
      <c r="C1773" s="90"/>
      <c r="D1773" s="90"/>
      <c r="E1773" s="90"/>
      <c r="F1773" s="90"/>
    </row>
    <row r="1774" spans="2:6" x14ac:dyDescent="0.2">
      <c r="B1774" s="24"/>
      <c r="C1774" s="90"/>
      <c r="D1774" s="90"/>
      <c r="E1774" s="90"/>
      <c r="F1774" s="90"/>
    </row>
    <row r="1775" spans="2:6" x14ac:dyDescent="0.2">
      <c r="B1775" s="24"/>
      <c r="C1775" s="90"/>
      <c r="D1775" s="90"/>
      <c r="E1775" s="90"/>
      <c r="F1775" s="90"/>
    </row>
    <row r="1776" spans="2:6" x14ac:dyDescent="0.2">
      <c r="B1776" s="24"/>
      <c r="C1776" s="90"/>
      <c r="D1776" s="90"/>
      <c r="E1776" s="90"/>
      <c r="F1776" s="90"/>
    </row>
    <row r="1777" spans="2:6" x14ac:dyDescent="0.2">
      <c r="B1777" s="24"/>
      <c r="C1777" s="90"/>
      <c r="D1777" s="90"/>
      <c r="E1777" s="90"/>
      <c r="F1777" s="90"/>
    </row>
    <row r="1778" spans="2:6" x14ac:dyDescent="0.2">
      <c r="B1778" s="24"/>
      <c r="C1778" s="90"/>
      <c r="D1778" s="90"/>
      <c r="E1778" s="90"/>
      <c r="F1778" s="90"/>
    </row>
    <row r="1779" spans="2:6" x14ac:dyDescent="0.2">
      <c r="B1779" s="24"/>
      <c r="C1779" s="90"/>
      <c r="D1779" s="90"/>
      <c r="E1779" s="90"/>
      <c r="F1779" s="90"/>
    </row>
    <row r="1780" spans="2:6" x14ac:dyDescent="0.2">
      <c r="B1780" s="24"/>
      <c r="C1780" s="90"/>
      <c r="D1780" s="90"/>
      <c r="E1780" s="90"/>
      <c r="F1780" s="90"/>
    </row>
    <row r="1781" spans="2:6" x14ac:dyDescent="0.2">
      <c r="B1781" s="24"/>
      <c r="C1781" s="90"/>
      <c r="D1781" s="90"/>
      <c r="E1781" s="90"/>
      <c r="F1781" s="90"/>
    </row>
    <row r="1782" spans="2:6" x14ac:dyDescent="0.2">
      <c r="B1782" s="24"/>
      <c r="C1782" s="90"/>
      <c r="D1782" s="90"/>
      <c r="E1782" s="90"/>
      <c r="F1782" s="90"/>
    </row>
    <row r="1783" spans="2:6" x14ac:dyDescent="0.2">
      <c r="B1783" s="24"/>
      <c r="C1783" s="90"/>
      <c r="D1783" s="90"/>
      <c r="E1783" s="90"/>
      <c r="F1783" s="90"/>
    </row>
    <row r="1784" spans="2:6" x14ac:dyDescent="0.2">
      <c r="B1784" s="24"/>
      <c r="C1784" s="90"/>
      <c r="D1784" s="90"/>
      <c r="E1784" s="90"/>
      <c r="F1784" s="90"/>
    </row>
    <row r="1785" spans="2:6" x14ac:dyDescent="0.2">
      <c r="B1785" s="24"/>
      <c r="C1785" s="90"/>
      <c r="D1785" s="90"/>
      <c r="E1785" s="90"/>
      <c r="F1785" s="90"/>
    </row>
    <row r="1786" spans="2:6" x14ac:dyDescent="0.2">
      <c r="B1786" s="24"/>
      <c r="C1786" s="90"/>
      <c r="D1786" s="90"/>
      <c r="E1786" s="90"/>
      <c r="F1786" s="90"/>
    </row>
    <row r="1787" spans="2:6" x14ac:dyDescent="0.2">
      <c r="B1787" s="24"/>
      <c r="C1787" s="90"/>
      <c r="D1787" s="90"/>
      <c r="E1787" s="90"/>
      <c r="F1787" s="90"/>
    </row>
    <row r="1788" spans="2:6" x14ac:dyDescent="0.2">
      <c r="B1788" s="24"/>
      <c r="C1788" s="90"/>
      <c r="D1788" s="90"/>
      <c r="E1788" s="90"/>
      <c r="F1788" s="90"/>
    </row>
    <row r="1789" spans="2:6" x14ac:dyDescent="0.2">
      <c r="B1789" s="24"/>
      <c r="C1789" s="90"/>
      <c r="D1789" s="90"/>
      <c r="E1789" s="90"/>
      <c r="F1789" s="90"/>
    </row>
    <row r="1790" spans="2:6" x14ac:dyDescent="0.2">
      <c r="B1790" s="24"/>
      <c r="C1790" s="90"/>
      <c r="D1790" s="90"/>
      <c r="E1790" s="90"/>
      <c r="F1790" s="90"/>
    </row>
    <row r="1791" spans="2:6" x14ac:dyDescent="0.2">
      <c r="B1791" s="24"/>
      <c r="C1791" s="90"/>
      <c r="D1791" s="90"/>
      <c r="E1791" s="90"/>
      <c r="F1791" s="90"/>
    </row>
    <row r="1792" spans="2:6" x14ac:dyDescent="0.2">
      <c r="B1792" s="24"/>
      <c r="C1792" s="90"/>
      <c r="D1792" s="90"/>
      <c r="E1792" s="90"/>
      <c r="F1792" s="90"/>
    </row>
    <row r="1793" spans="2:6" x14ac:dyDescent="0.2">
      <c r="B1793" s="24"/>
      <c r="C1793" s="90"/>
      <c r="D1793" s="90"/>
      <c r="E1793" s="90"/>
      <c r="F1793" s="90"/>
    </row>
    <row r="1794" spans="2:6" x14ac:dyDescent="0.2">
      <c r="B1794" s="24"/>
      <c r="C1794" s="90"/>
      <c r="D1794" s="90"/>
      <c r="E1794" s="90"/>
      <c r="F1794" s="90"/>
    </row>
    <row r="1795" spans="2:6" x14ac:dyDescent="0.2">
      <c r="B1795" s="24"/>
      <c r="C1795" s="90"/>
      <c r="D1795" s="90"/>
      <c r="E1795" s="90"/>
      <c r="F1795" s="90"/>
    </row>
    <row r="1796" spans="2:6" x14ac:dyDescent="0.2">
      <c r="B1796" s="24"/>
      <c r="C1796" s="90"/>
      <c r="D1796" s="90"/>
      <c r="E1796" s="90"/>
      <c r="F1796" s="90"/>
    </row>
    <row r="1797" spans="2:6" x14ac:dyDescent="0.2">
      <c r="B1797" s="24"/>
      <c r="C1797" s="90"/>
      <c r="D1797" s="90"/>
      <c r="E1797" s="90"/>
      <c r="F1797" s="90"/>
    </row>
    <row r="1798" spans="2:6" x14ac:dyDescent="0.2">
      <c r="B1798" s="24"/>
      <c r="C1798" s="90"/>
      <c r="D1798" s="90"/>
      <c r="E1798" s="90"/>
      <c r="F1798" s="90"/>
    </row>
    <row r="1799" spans="2:6" x14ac:dyDescent="0.2">
      <c r="B1799" s="24"/>
      <c r="C1799" s="90"/>
      <c r="D1799" s="90"/>
      <c r="E1799" s="90"/>
      <c r="F1799" s="90"/>
    </row>
    <row r="1800" spans="2:6" x14ac:dyDescent="0.2">
      <c r="B1800" s="24"/>
      <c r="C1800" s="90"/>
      <c r="D1800" s="90"/>
      <c r="E1800" s="90"/>
      <c r="F1800" s="90"/>
    </row>
    <row r="1801" spans="2:6" x14ac:dyDescent="0.2">
      <c r="B1801" s="24"/>
      <c r="C1801" s="90"/>
      <c r="D1801" s="90"/>
      <c r="E1801" s="90"/>
      <c r="F1801" s="90"/>
    </row>
    <row r="1802" spans="2:6" x14ac:dyDescent="0.2">
      <c r="B1802" s="24"/>
      <c r="C1802" s="90"/>
      <c r="D1802" s="90"/>
      <c r="E1802" s="90"/>
      <c r="F1802" s="90"/>
    </row>
    <row r="1803" spans="2:6" x14ac:dyDescent="0.2">
      <c r="B1803" s="24"/>
      <c r="C1803" s="90"/>
      <c r="D1803" s="90"/>
      <c r="E1803" s="90"/>
      <c r="F1803" s="90"/>
    </row>
    <row r="1804" spans="2:6" x14ac:dyDescent="0.2">
      <c r="B1804" s="24"/>
      <c r="C1804" s="90"/>
      <c r="D1804" s="90"/>
      <c r="E1804" s="90"/>
      <c r="F1804" s="90"/>
    </row>
    <row r="1805" spans="2:6" x14ac:dyDescent="0.2">
      <c r="B1805" s="24"/>
      <c r="C1805" s="90"/>
      <c r="D1805" s="90"/>
      <c r="E1805" s="90"/>
      <c r="F1805" s="90"/>
    </row>
    <row r="1806" spans="2:6" x14ac:dyDescent="0.2">
      <c r="B1806" s="24"/>
      <c r="C1806" s="90"/>
      <c r="D1806" s="90"/>
      <c r="E1806" s="90"/>
      <c r="F1806" s="90"/>
    </row>
    <row r="1807" spans="2:6" x14ac:dyDescent="0.2">
      <c r="B1807" s="24"/>
      <c r="C1807" s="90"/>
      <c r="D1807" s="90"/>
      <c r="E1807" s="90"/>
      <c r="F1807" s="90"/>
    </row>
    <row r="1808" spans="2:6" x14ac:dyDescent="0.2">
      <c r="B1808" s="24"/>
      <c r="C1808" s="90"/>
      <c r="D1808" s="90"/>
      <c r="E1808" s="90"/>
      <c r="F1808" s="90"/>
    </row>
    <row r="1809" spans="2:6" x14ac:dyDescent="0.2">
      <c r="B1809" s="24"/>
      <c r="C1809" s="90"/>
      <c r="D1809" s="90"/>
      <c r="E1809" s="90"/>
      <c r="F1809" s="90"/>
    </row>
    <row r="1810" spans="2:6" x14ac:dyDescent="0.2">
      <c r="B1810" s="24"/>
      <c r="C1810" s="90"/>
      <c r="D1810" s="90"/>
      <c r="E1810" s="90"/>
      <c r="F1810" s="90"/>
    </row>
    <row r="1811" spans="2:6" x14ac:dyDescent="0.2">
      <c r="B1811" s="24"/>
      <c r="C1811" s="90"/>
      <c r="D1811" s="90"/>
      <c r="E1811" s="90"/>
      <c r="F1811" s="90"/>
    </row>
    <row r="1812" spans="2:6" x14ac:dyDescent="0.2">
      <c r="B1812" s="24"/>
      <c r="C1812" s="90"/>
      <c r="D1812" s="90"/>
      <c r="E1812" s="90"/>
      <c r="F1812" s="90"/>
    </row>
    <row r="1813" spans="2:6" x14ac:dyDescent="0.2">
      <c r="B1813" s="24"/>
      <c r="C1813" s="90"/>
      <c r="D1813" s="90"/>
      <c r="E1813" s="90"/>
      <c r="F1813" s="90"/>
    </row>
    <row r="1814" spans="2:6" x14ac:dyDescent="0.2">
      <c r="B1814" s="24"/>
      <c r="C1814" s="90"/>
      <c r="D1814" s="90"/>
      <c r="E1814" s="90"/>
      <c r="F1814" s="90"/>
    </row>
    <row r="1815" spans="2:6" x14ac:dyDescent="0.2">
      <c r="B1815" s="24"/>
      <c r="C1815" s="90"/>
      <c r="D1815" s="90"/>
      <c r="E1815" s="90"/>
      <c r="F1815" s="90"/>
    </row>
    <row r="1816" spans="2:6" x14ac:dyDescent="0.2">
      <c r="B1816" s="24"/>
      <c r="C1816" s="90"/>
      <c r="D1816" s="90"/>
      <c r="E1816" s="90"/>
      <c r="F1816" s="90"/>
    </row>
    <row r="1817" spans="2:6" x14ac:dyDescent="0.2">
      <c r="B1817" s="24"/>
      <c r="C1817" s="90"/>
      <c r="D1817" s="90"/>
      <c r="E1817" s="90"/>
      <c r="F1817" s="90"/>
    </row>
    <row r="1818" spans="2:6" x14ac:dyDescent="0.2">
      <c r="B1818" s="24"/>
      <c r="C1818" s="90"/>
      <c r="D1818" s="90"/>
      <c r="E1818" s="90"/>
      <c r="F1818" s="90"/>
    </row>
    <row r="1819" spans="2:6" x14ac:dyDescent="0.2">
      <c r="B1819" s="24"/>
      <c r="C1819" s="90"/>
      <c r="D1819" s="90"/>
      <c r="E1819" s="90"/>
      <c r="F1819" s="90"/>
    </row>
    <row r="1820" spans="2:6" x14ac:dyDescent="0.2">
      <c r="B1820" s="24"/>
      <c r="C1820" s="90"/>
      <c r="D1820" s="90"/>
      <c r="E1820" s="90"/>
      <c r="F1820" s="90"/>
    </row>
    <row r="1821" spans="2:6" x14ac:dyDescent="0.2">
      <c r="B1821" s="24"/>
      <c r="C1821" s="90"/>
      <c r="D1821" s="90"/>
      <c r="E1821" s="90"/>
      <c r="F1821" s="90"/>
    </row>
    <row r="1822" spans="2:6" x14ac:dyDescent="0.2">
      <c r="B1822" s="24"/>
      <c r="C1822" s="90"/>
      <c r="D1822" s="90"/>
      <c r="E1822" s="90"/>
      <c r="F1822" s="90"/>
    </row>
    <row r="1823" spans="2:6" x14ac:dyDescent="0.2">
      <c r="B1823" s="24"/>
      <c r="C1823" s="90"/>
      <c r="D1823" s="90"/>
      <c r="E1823" s="90"/>
      <c r="F1823" s="90"/>
    </row>
    <row r="1824" spans="2:6" x14ac:dyDescent="0.2">
      <c r="B1824" s="24"/>
      <c r="C1824" s="90"/>
      <c r="D1824" s="90"/>
      <c r="E1824" s="90"/>
      <c r="F1824" s="90"/>
    </row>
    <row r="1825" spans="2:6" x14ac:dyDescent="0.2">
      <c r="B1825" s="24"/>
      <c r="C1825" s="90"/>
      <c r="D1825" s="90"/>
      <c r="E1825" s="90"/>
      <c r="F1825" s="90"/>
    </row>
    <row r="1826" spans="2:6" x14ac:dyDescent="0.2">
      <c r="B1826" s="24"/>
      <c r="C1826" s="90"/>
      <c r="D1826" s="90"/>
      <c r="E1826" s="90"/>
      <c r="F1826" s="90"/>
    </row>
    <row r="1827" spans="2:6" x14ac:dyDescent="0.2">
      <c r="B1827" s="24"/>
      <c r="C1827" s="90"/>
      <c r="D1827" s="90"/>
      <c r="E1827" s="90"/>
      <c r="F1827" s="90"/>
    </row>
    <row r="1828" spans="2:6" x14ac:dyDescent="0.2">
      <c r="B1828" s="24"/>
      <c r="C1828" s="90"/>
      <c r="D1828" s="90"/>
      <c r="E1828" s="90"/>
      <c r="F1828" s="90"/>
    </row>
    <row r="1829" spans="2:6" x14ac:dyDescent="0.2">
      <c r="B1829" s="24"/>
      <c r="C1829" s="90"/>
      <c r="D1829" s="90"/>
      <c r="E1829" s="90"/>
      <c r="F1829" s="90"/>
    </row>
    <row r="1830" spans="2:6" x14ac:dyDescent="0.2">
      <c r="B1830" s="24"/>
      <c r="C1830" s="90"/>
      <c r="D1830" s="90"/>
      <c r="E1830" s="90"/>
      <c r="F1830" s="90"/>
    </row>
    <row r="1831" spans="2:6" x14ac:dyDescent="0.2">
      <c r="B1831" s="24"/>
      <c r="C1831" s="90"/>
      <c r="D1831" s="90"/>
      <c r="E1831" s="90"/>
      <c r="F1831" s="90"/>
    </row>
    <row r="1832" spans="2:6" x14ac:dyDescent="0.2">
      <c r="B1832" s="24"/>
      <c r="C1832" s="90"/>
      <c r="D1832" s="90"/>
      <c r="E1832" s="90"/>
      <c r="F1832" s="90"/>
    </row>
    <row r="1833" spans="2:6" x14ac:dyDescent="0.2">
      <c r="B1833" s="24"/>
      <c r="C1833" s="90"/>
      <c r="D1833" s="90"/>
      <c r="E1833" s="90"/>
      <c r="F1833" s="90"/>
    </row>
    <row r="1834" spans="2:6" x14ac:dyDescent="0.2">
      <c r="B1834" s="24"/>
      <c r="C1834" s="90"/>
      <c r="D1834" s="90"/>
      <c r="E1834" s="90"/>
      <c r="F1834" s="90"/>
    </row>
    <row r="1835" spans="2:6" x14ac:dyDescent="0.2">
      <c r="B1835" s="24"/>
      <c r="C1835" s="674"/>
      <c r="D1835" s="24"/>
      <c r="E1835" s="90"/>
      <c r="F1835" s="24"/>
    </row>
  </sheetData>
  <mergeCells count="25">
    <mergeCell ref="N65:N67"/>
    <mergeCell ref="O65:O67"/>
    <mergeCell ref="P65:P67"/>
    <mergeCell ref="I68:J68"/>
    <mergeCell ref="K68:L68"/>
    <mergeCell ref="M68:N68"/>
    <mergeCell ref="O68:P68"/>
    <mergeCell ref="I65:I67"/>
    <mergeCell ref="J65:J67"/>
    <mergeCell ref="K65:K67"/>
    <mergeCell ref="L65:L67"/>
    <mergeCell ref="M65:M67"/>
    <mergeCell ref="I48:J48"/>
    <mergeCell ref="M48:N48"/>
    <mergeCell ref="H21:M21"/>
    <mergeCell ref="I45:I47"/>
    <mergeCell ref="J45:J47"/>
    <mergeCell ref="K45:K47"/>
    <mergeCell ref="M45:M47"/>
    <mergeCell ref="L45:L47"/>
    <mergeCell ref="O45:O47"/>
    <mergeCell ref="P45:P47"/>
    <mergeCell ref="O48:P48"/>
    <mergeCell ref="K48:L48"/>
    <mergeCell ref="N45:N47"/>
  </mergeCells>
  <phoneticPr fontId="2" type="noConversion"/>
  <conditionalFormatting sqref="K48">
    <cfRule type="expression" dxfId="13" priority="2" stopIfTrue="1">
      <formula>($C$51&lt;2)</formula>
    </cfRule>
  </conditionalFormatting>
  <conditionalFormatting sqref="K68">
    <cfRule type="expression" dxfId="12" priority="1" stopIfTrue="1">
      <formula>($C$51&lt;2)</formula>
    </cfRule>
  </conditionalFormatting>
  <pageMargins left="0.78740157499999996" right="0.78740157499999996" top="0.984251969" bottom="0.984251969" header="0.4921259845" footer="0.4921259845"/>
  <pageSetup orientation="portrait" horizontalDpi="300" verticalDpi="300"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Z109"/>
  <sheetViews>
    <sheetView zoomScaleNormal="100" workbookViewId="0">
      <selection activeCell="D2" sqref="D2"/>
    </sheetView>
  </sheetViews>
  <sheetFormatPr baseColWidth="10" defaultColWidth="11.453125" defaultRowHeight="10" x14ac:dyDescent="0.2"/>
  <cols>
    <col min="1" max="1" width="2.81640625" style="1" customWidth="1"/>
    <col min="2" max="2" width="14.1796875" style="1" bestFit="1" customWidth="1"/>
    <col min="3" max="3" width="8.1796875" style="1" bestFit="1" customWidth="1"/>
    <col min="4" max="4" width="21.54296875" style="1" bestFit="1" customWidth="1"/>
    <col min="5" max="5" width="21.7265625" style="1" bestFit="1" customWidth="1"/>
    <col min="6" max="6" width="11.26953125" style="1" bestFit="1" customWidth="1"/>
    <col min="7" max="7" width="23.7265625" style="1" bestFit="1" customWidth="1"/>
    <col min="8" max="8" width="17.26953125" style="1" customWidth="1"/>
    <col min="9" max="9" width="12.26953125" style="1" bestFit="1" customWidth="1"/>
    <col min="10" max="10" width="19.7265625" style="1" bestFit="1" customWidth="1"/>
    <col min="11" max="11" width="31.7265625" style="1" bestFit="1" customWidth="1"/>
    <col min="12" max="12" width="21.453125" style="1" bestFit="1" customWidth="1"/>
    <col min="13" max="13" width="20.7265625" style="1" customWidth="1"/>
    <col min="14" max="14" width="11.26953125" style="1" bestFit="1" customWidth="1"/>
    <col min="15" max="15" width="16.54296875" style="1" bestFit="1" customWidth="1"/>
    <col min="16" max="16" width="13.453125" style="1" bestFit="1" customWidth="1"/>
    <col min="17" max="17" width="11.453125" style="1"/>
    <col min="18" max="18" width="13" style="1" bestFit="1" customWidth="1"/>
    <col min="19" max="16384" width="11.453125" style="1"/>
  </cols>
  <sheetData>
    <row r="2" spans="2:22" ht="10.5" x14ac:dyDescent="0.25">
      <c r="B2" s="18" t="s">
        <v>55</v>
      </c>
      <c r="C2" s="70">
        <f ca="1">INDEX(INDIRECT(TDcustomEIRP!C29),TDSelected!D4)</f>
        <v>30</v>
      </c>
      <c r="E2" s="845" t="s">
        <v>98</v>
      </c>
      <c r="F2" s="861"/>
      <c r="G2" s="846"/>
      <c r="I2" s="5" t="s">
        <v>385</v>
      </c>
      <c r="J2" s="375">
        <v>299792458</v>
      </c>
      <c r="K2" s="9" t="s">
        <v>386</v>
      </c>
    </row>
    <row r="3" spans="2:22" x14ac:dyDescent="0.2">
      <c r="I3" s="6" t="s">
        <v>387</v>
      </c>
      <c r="J3" s="632">
        <v>2.4</v>
      </c>
      <c r="K3" s="10" t="s">
        <v>362</v>
      </c>
    </row>
    <row r="4" spans="2:22" x14ac:dyDescent="0.2">
      <c r="D4" s="342" t="s">
        <v>396</v>
      </c>
      <c r="E4" s="342" t="s">
        <v>395</v>
      </c>
      <c r="F4" s="342" t="s">
        <v>391</v>
      </c>
      <c r="G4" s="342" t="s">
        <v>662</v>
      </c>
      <c r="I4" s="6" t="s">
        <v>388</v>
      </c>
      <c r="J4" s="632">
        <v>5.5</v>
      </c>
      <c r="K4" s="10" t="s">
        <v>362</v>
      </c>
    </row>
    <row r="5" spans="2:22" ht="10.5" x14ac:dyDescent="0.25">
      <c r="B5" s="18"/>
      <c r="D5" s="363">
        <f ca="1">TDSelected!D54-TDSelected!D51-TDSelected!G51-TDSelected!G54</f>
        <v>3.5</v>
      </c>
      <c r="E5" s="363">
        <f ca="1">TDSelected!D29-TDSelected!D26-TDSelected!G26-TDSelected!G29</f>
        <v>3.5</v>
      </c>
      <c r="F5" s="72">
        <f>TDSelected!$E$5</f>
        <v>10</v>
      </c>
      <c r="G5" s="72">
        <v>32.4</v>
      </c>
      <c r="I5" s="6" t="s">
        <v>392</v>
      </c>
      <c r="J5" s="65">
        <f>J2/J3</f>
        <v>124913524.16666667</v>
      </c>
      <c r="K5" s="10" t="s">
        <v>360</v>
      </c>
    </row>
    <row r="6" spans="2:22" ht="10.5" thickBot="1" x14ac:dyDescent="0.25">
      <c r="I6" s="7" t="s">
        <v>393</v>
      </c>
      <c r="J6" s="68">
        <f>J2/J4</f>
        <v>54507719.636363633</v>
      </c>
      <c r="K6" s="11" t="s">
        <v>360</v>
      </c>
    </row>
    <row r="7" spans="2:22" ht="10.5" x14ac:dyDescent="0.25">
      <c r="B7" s="57" t="s">
        <v>92</v>
      </c>
      <c r="C7" s="492" t="s">
        <v>2</v>
      </c>
      <c r="D7" s="493" t="s">
        <v>394</v>
      </c>
      <c r="E7" s="493" t="s">
        <v>389</v>
      </c>
      <c r="F7" s="493" t="s">
        <v>390</v>
      </c>
      <c r="G7" s="747" t="s">
        <v>696</v>
      </c>
      <c r="H7" s="493" t="s">
        <v>397</v>
      </c>
      <c r="I7" s="495" t="s">
        <v>399</v>
      </c>
      <c r="J7" s="42"/>
      <c r="K7" s="42"/>
      <c r="L7" s="42"/>
    </row>
    <row r="8" spans="2:22" ht="10.5" x14ac:dyDescent="0.25">
      <c r="B8" s="52"/>
      <c r="C8" s="65">
        <f ca="1">TDSelected!D13</f>
        <v>21.6</v>
      </c>
      <c r="D8" s="64">
        <f ca="1">TDSelected!F38+$F$5</f>
        <v>-84</v>
      </c>
      <c r="E8" s="86">
        <f ca="1">TDSelected!E13+$E$5</f>
        <v>26.5</v>
      </c>
      <c r="F8" s="86">
        <f ca="1">MIN(C$2,E8)</f>
        <v>26.5</v>
      </c>
      <c r="G8" s="86">
        <f>IF(ISNUMBER(UserInterface!$I$35)=TRUE,UserInterface!$I$35,0)</f>
        <v>0</v>
      </c>
      <c r="H8" s="631">
        <f ca="1">(10^((-D8+F8-G8+$D$5-$G$5)/20))/IF(TDSelected!$H$4=2,Calc!$J$4,Calc!$J$3)</f>
        <v>2185.9353356680276</v>
      </c>
      <c r="I8" s="496" t="b">
        <f ca="1">((E8-F8)&gt;(TDSelected!$E13-0.5))</f>
        <v>0</v>
      </c>
      <c r="J8" s="24"/>
      <c r="K8" s="365" t="s">
        <v>400</v>
      </c>
      <c r="L8" s="366" t="s">
        <v>403</v>
      </c>
      <c r="M8" s="366" t="s">
        <v>404</v>
      </c>
      <c r="N8" s="366" t="s">
        <v>404</v>
      </c>
    </row>
    <row r="9" spans="2:22" x14ac:dyDescent="0.2">
      <c r="B9" s="52"/>
      <c r="C9" s="65">
        <f ca="1">TDSelected!D14</f>
        <v>43.2</v>
      </c>
      <c r="D9" s="64">
        <f ca="1">TDSelected!F39+$F$5</f>
        <v>-81</v>
      </c>
      <c r="E9" s="86">
        <f ca="1">TDSelected!E14+$E$5</f>
        <v>26.5</v>
      </c>
      <c r="F9" s="86">
        <f t="shared" ref="F9:F18" ca="1" si="0">MIN(C$2,E9)</f>
        <v>26.5</v>
      </c>
      <c r="G9" s="86">
        <f>IF(ISNUMBER(UserInterface!$I$35)=TRUE,UserInterface!$I$35,0)</f>
        <v>0</v>
      </c>
      <c r="H9" s="631">
        <f ca="1">(10^((-D9+F9-G9+$D$5-$G$5)/20))/IF(TDSelected!$H$4=2,Calc!$J$4,Calc!$J$3)</f>
        <v>1547.5237058225023</v>
      </c>
      <c r="I9" s="496" t="b">
        <f ca="1">((E9-F9)&gt;(TDSelected!$E14-0.5))</f>
        <v>0</v>
      </c>
      <c r="J9" s="24"/>
      <c r="K9" s="282" t="s">
        <v>401</v>
      </c>
      <c r="L9" s="384">
        <f ca="1">INDEX(L10:L16,TDSelected!D4)</f>
        <v>54000</v>
      </c>
      <c r="M9" s="367">
        <f ca="1">INDEX(M10:M16,TDSelected!D4)</f>
        <v>27000</v>
      </c>
      <c r="N9" s="367">
        <f ca="1">INDEX(N10:N16,TDSelected!D4)</f>
        <v>27000</v>
      </c>
    </row>
    <row r="10" spans="2:22" x14ac:dyDescent="0.2">
      <c r="B10" s="52"/>
      <c r="C10" s="65">
        <f ca="1">TDSelected!D15</f>
        <v>65.099999999999994</v>
      </c>
      <c r="D10" s="64">
        <f ca="1">TDSelected!F40+$F$5</f>
        <v>-80</v>
      </c>
      <c r="E10" s="86">
        <f ca="1">TDSelected!E15+$E$5</f>
        <v>25.5</v>
      </c>
      <c r="F10" s="86">
        <f t="shared" ca="1" si="0"/>
        <v>25.5</v>
      </c>
      <c r="G10" s="86">
        <f>IF(ISNUMBER(UserInterface!$I$35)=TRUE,UserInterface!$I$35,0)</f>
        <v>0</v>
      </c>
      <c r="H10" s="631">
        <f ca="1">(10^((-D10+F10-G10+$D$5-$G$5)/20))/IF(TDSelected!$H$4=2,Calc!$J$4,Calc!$J$3)</f>
        <v>1229.2417734399678</v>
      </c>
      <c r="I10" s="496" t="b">
        <f ca="1">((E10-F10)&gt;(TDSelected!$E15-0.5))</f>
        <v>0</v>
      </c>
      <c r="J10" s="24"/>
      <c r="K10" s="194" t="s">
        <v>24</v>
      </c>
      <c r="L10" s="460">
        <v>1000000</v>
      </c>
      <c r="M10" s="460">
        <v>1000000</v>
      </c>
      <c r="N10" s="460">
        <v>1000000</v>
      </c>
    </row>
    <row r="11" spans="2:22" x14ac:dyDescent="0.2">
      <c r="B11" s="52"/>
      <c r="C11" s="65">
        <f ca="1">TDSelected!D16</f>
        <v>86.699999999999989</v>
      </c>
      <c r="D11" s="64">
        <f ca="1">TDSelected!F41+$F$5</f>
        <v>-76</v>
      </c>
      <c r="E11" s="86">
        <f ca="1">TDSelected!E16+$E$5</f>
        <v>25.5</v>
      </c>
      <c r="F11" s="86">
        <f t="shared" ca="1" si="0"/>
        <v>25.5</v>
      </c>
      <c r="G11" s="86">
        <f>IF(ISNUMBER(UserInterface!$I$35)=TRUE,UserInterface!$I$35,0)</f>
        <v>0</v>
      </c>
      <c r="H11" s="631">
        <f ca="1">(10^((-D11+F11-G11+$D$5-$G$5)/20))/IF(TDSelected!$H$4=2,Calc!$J$4,Calc!$J$3)</f>
        <v>775.59912509380547</v>
      </c>
      <c r="I11" s="496" t="b">
        <f ca="1">((E11-F11)&gt;(TDSelected!$E16-0.5))</f>
        <v>0</v>
      </c>
      <c r="J11" s="24"/>
      <c r="K11" s="195" t="s">
        <v>26</v>
      </c>
      <c r="L11" s="461">
        <v>1000000</v>
      </c>
      <c r="M11" s="461">
        <v>1000000</v>
      </c>
      <c r="N11" s="461">
        <v>1000000</v>
      </c>
      <c r="V11" s="1">
        <f>J5/(4*PI())</f>
        <v>9940302.4150769636</v>
      </c>
    </row>
    <row r="12" spans="2:22" x14ac:dyDescent="0.2">
      <c r="B12" s="52"/>
      <c r="C12" s="65">
        <f ca="1">TDSelected!D17</f>
        <v>129.89999999999998</v>
      </c>
      <c r="D12" s="64">
        <f ca="1">TDSelected!F42+$F$5</f>
        <v>-73</v>
      </c>
      <c r="E12" s="86">
        <f ca="1">TDSelected!E17+$E$5</f>
        <v>24.5</v>
      </c>
      <c r="F12" s="86">
        <f t="shared" ca="1" si="0"/>
        <v>24.5</v>
      </c>
      <c r="G12" s="86">
        <f>IF(ISNUMBER(UserInterface!$I$35)=TRUE,UserInterface!$I$35,0)</f>
        <v>0</v>
      </c>
      <c r="H12" s="631">
        <f ca="1">(10^((-D12+F12-G12+$D$5-$G$5)/20))/IF(TDSelected!$H$4=2,Calc!$J$4,Calc!$J$3)</f>
        <v>489.36996435034837</v>
      </c>
      <c r="I12" s="496" t="b">
        <f ca="1">((E12-F12)&gt;(TDSelected!$E17-0.5))</f>
        <v>0</v>
      </c>
      <c r="J12" s="24"/>
      <c r="K12" s="97" t="s">
        <v>114</v>
      </c>
      <c r="L12" s="461">
        <v>54000</v>
      </c>
      <c r="M12" s="461">
        <v>27000</v>
      </c>
      <c r="N12" s="461">
        <v>27000</v>
      </c>
      <c r="V12" s="1">
        <f>J6/(4*PI())</f>
        <v>4337586.5083972197</v>
      </c>
    </row>
    <row r="13" spans="2:22" x14ac:dyDescent="0.2">
      <c r="B13" s="52"/>
      <c r="C13" s="65">
        <f ca="1">TDSelected!D18</f>
        <v>173.39999999999998</v>
      </c>
      <c r="D13" s="64">
        <f ca="1">TDSelected!F43+$F$5</f>
        <v>-70</v>
      </c>
      <c r="E13" s="86">
        <f ca="1">TDSelected!E18+$E$5</f>
        <v>24.5</v>
      </c>
      <c r="F13" s="86">
        <f t="shared" ca="1" si="0"/>
        <v>24.5</v>
      </c>
      <c r="G13" s="86">
        <f>IF(ISNUMBER(UserInterface!$I$35)=TRUE,UserInterface!$I$35,0)</f>
        <v>0</v>
      </c>
      <c r="H13" s="631">
        <f ca="1">(10^((-D13+F13-G13+$D$5-$G$5)/20))/IF(TDSelected!$H$4=2,Calc!$J$4,Calc!$J$3)</f>
        <v>346.44740326604517</v>
      </c>
      <c r="I13" s="496" t="b">
        <f ca="1">((E13-F13)&gt;(TDSelected!$E18-0.5))</f>
        <v>0</v>
      </c>
      <c r="J13" s="24"/>
      <c r="K13" s="97" t="s">
        <v>115</v>
      </c>
      <c r="L13" s="461">
        <v>54000</v>
      </c>
      <c r="M13" s="461">
        <v>27000</v>
      </c>
      <c r="N13" s="461">
        <v>27000</v>
      </c>
    </row>
    <row r="14" spans="2:22" x14ac:dyDescent="0.2">
      <c r="B14" s="52"/>
      <c r="C14" s="65">
        <f ca="1">TDSelected!D19</f>
        <v>195</v>
      </c>
      <c r="D14" s="64">
        <f ca="1">TDSelected!F44+$F$5</f>
        <v>-67</v>
      </c>
      <c r="E14" s="86">
        <f ca="1">TDSelected!E19+$E$5</f>
        <v>23.5</v>
      </c>
      <c r="F14" s="86">
        <f t="shared" ca="1" si="0"/>
        <v>23.5</v>
      </c>
      <c r="G14" s="86">
        <f>IF(ISNUMBER(UserInterface!$I$35)=TRUE,UserInterface!$I$35,0)</f>
        <v>0</v>
      </c>
      <c r="H14" s="631">
        <f ca="1">(10^((-D14+F14-G14+$D$5-$G$5)/20))/IF(TDSelected!$H$4=2,Calc!$J$4,Calc!$J$3)</f>
        <v>218.59353356680251</v>
      </c>
      <c r="I14" s="496" t="b">
        <f ca="1">((E14-F14)&gt;(TDSelected!$E19-0.5))</f>
        <v>0</v>
      </c>
      <c r="J14" s="24"/>
      <c r="K14" s="97" t="s">
        <v>219</v>
      </c>
      <c r="L14" s="461">
        <v>54000</v>
      </c>
      <c r="M14" s="461">
        <v>27000</v>
      </c>
      <c r="N14" s="461">
        <v>27000</v>
      </c>
    </row>
    <row r="15" spans="2:22" x14ac:dyDescent="0.2">
      <c r="B15" s="52"/>
      <c r="C15" s="65">
        <f ca="1">TDSelected!D20</f>
        <v>216.60000000000002</v>
      </c>
      <c r="D15" s="64">
        <f ca="1">TDSelected!F45+$F$5</f>
        <v>-65</v>
      </c>
      <c r="E15" s="86">
        <f ca="1">TDSelected!E20+$E$5</f>
        <v>23.5</v>
      </c>
      <c r="F15" s="86">
        <f t="shared" ca="1" si="0"/>
        <v>23.5</v>
      </c>
      <c r="G15" s="86">
        <f>IF(ISNUMBER(UserInterface!$I$35)=TRUE,UserInterface!$I$35,0)</f>
        <v>0</v>
      </c>
      <c r="H15" s="631">
        <f ca="1">(10^((-D15+F15-G15+$D$5-$G$5)/20))/IF(TDSelected!$H$4=2,Calc!$J$4,Calc!$J$3)</f>
        <v>173.63501564026123</v>
      </c>
      <c r="I15" s="496" t="b">
        <f ca="1">((E15-F15)&gt;(TDSelected!$E20-0.5))</f>
        <v>0</v>
      </c>
      <c r="J15" s="24"/>
      <c r="K15" s="97" t="s">
        <v>220</v>
      </c>
      <c r="L15" s="461">
        <v>54000</v>
      </c>
      <c r="M15" s="461">
        <v>27000</v>
      </c>
      <c r="N15" s="461">
        <v>27000</v>
      </c>
    </row>
    <row r="16" spans="2:22" x14ac:dyDescent="0.2">
      <c r="B16" s="52"/>
      <c r="C16" s="65" t="str">
        <f ca="1">IF(TDSelected!D21=0,"",TDSelected!D21)</f>
        <v/>
      </c>
      <c r="D16" s="64">
        <f ca="1">TDSelected!F46+$F$5</f>
        <v>-61</v>
      </c>
      <c r="E16" s="86">
        <f ca="1">TDSelected!E21+$E$5</f>
        <v>3.5</v>
      </c>
      <c r="F16" s="86">
        <f t="shared" ca="1" si="0"/>
        <v>3.5</v>
      </c>
      <c r="G16" s="86">
        <f>IF(ISNUMBER(UserInterface!$I$35)=TRUE,UserInterface!$I$35,0)</f>
        <v>0</v>
      </c>
      <c r="H16" s="631">
        <f ca="1">(10^((-D16+F16-G16+$D$5-$G$5)/20))/IF(TDSelected!$H$4=2,Calc!$J$4,Calc!$J$3)</f>
        <v>10.955628837715604</v>
      </c>
      <c r="I16" s="496" t="str">
        <f ca="1">IF(C16="","",((E16-F16)&gt;(TDSelected!$E21-0.5)))</f>
        <v/>
      </c>
      <c r="J16" s="24"/>
      <c r="K16" s="639" t="s">
        <v>504</v>
      </c>
      <c r="L16" s="638">
        <v>54000</v>
      </c>
      <c r="M16" s="461">
        <v>27000</v>
      </c>
      <c r="N16" s="638">
        <v>27000</v>
      </c>
    </row>
    <row r="17" spans="2:14" x14ac:dyDescent="0.2">
      <c r="B17" s="52"/>
      <c r="C17" s="65" t="str">
        <f ca="1">IF(TDSelected!D22=0,"",TDSelected!D22)</f>
        <v/>
      </c>
      <c r="D17" s="64">
        <f ca="1">TDSelected!F47+$F$5</f>
        <v>10</v>
      </c>
      <c r="E17" s="86">
        <f ca="1">TDSelected!E22+$E$5</f>
        <v>3.5</v>
      </c>
      <c r="F17" s="86">
        <f t="shared" ca="1" si="0"/>
        <v>3.5</v>
      </c>
      <c r="G17" s="86"/>
      <c r="H17" s="631">
        <f ca="1">(10^((-D17+F17+$D$5-$G$5)/20))/IF(TDSelected!$H$4=2,Calc!$J$4,Calc!$J$3)</f>
        <v>3.0877157317486235E-3</v>
      </c>
      <c r="I17" s="496" t="str">
        <f ca="1">IF(C17="","",((E17-F17)&gt;(TDSelected!$E22-0.5)))</f>
        <v/>
      </c>
      <c r="J17" s="24"/>
      <c r="K17" s="641"/>
      <c r="L17" s="642"/>
      <c r="M17" s="642"/>
      <c r="N17" s="642"/>
    </row>
    <row r="18" spans="2:14" x14ac:dyDescent="0.2">
      <c r="B18" s="52"/>
      <c r="C18" s="65" t="str">
        <f ca="1">IF(TDSelected!D23=0,"",TDSelected!D23)</f>
        <v/>
      </c>
      <c r="D18" s="64">
        <f ca="1">TDSelected!F48+$F$5</f>
        <v>10</v>
      </c>
      <c r="E18" s="86">
        <f ca="1">TDSelected!E23+$E$5</f>
        <v>3.5</v>
      </c>
      <c r="F18" s="86">
        <f t="shared" ca="1" si="0"/>
        <v>3.5</v>
      </c>
      <c r="G18" s="86"/>
      <c r="H18" s="631">
        <f ca="1">(10^((-D18+F18+$D$5-$G$5)/20))/IF(TDSelected!$H$4=2,Calc!$J$4,Calc!$J$3)</f>
        <v>3.0877157317486235E-3</v>
      </c>
      <c r="I18" s="496" t="str">
        <f ca="1">IF(C18="","",((E18-F18)&gt;(TDSelected!$E23-0.5)))</f>
        <v/>
      </c>
      <c r="J18" s="24"/>
    </row>
    <row r="19" spans="2:14" x14ac:dyDescent="0.2">
      <c r="B19" s="52"/>
      <c r="C19" s="2"/>
      <c r="D19" s="2"/>
      <c r="E19" s="2"/>
      <c r="F19" s="2"/>
      <c r="G19" s="2"/>
      <c r="H19" s="374"/>
      <c r="I19" s="53"/>
    </row>
    <row r="20" spans="2:14" x14ac:dyDescent="0.2">
      <c r="B20" s="52"/>
      <c r="C20" s="2"/>
      <c r="D20" s="2"/>
      <c r="E20" s="2"/>
      <c r="F20" s="2"/>
      <c r="G20" s="2"/>
      <c r="H20" s="374"/>
      <c r="I20" s="53"/>
    </row>
    <row r="21" spans="2:14" ht="10.5" x14ac:dyDescent="0.25">
      <c r="B21" s="107" t="s">
        <v>93</v>
      </c>
      <c r="C21" s="220" t="s">
        <v>2</v>
      </c>
      <c r="D21" s="42" t="s">
        <v>394</v>
      </c>
      <c r="E21" s="42" t="s">
        <v>389</v>
      </c>
      <c r="F21" s="42" t="s">
        <v>390</v>
      </c>
      <c r="G21" s="748" t="s">
        <v>696</v>
      </c>
      <c r="H21" s="373" t="s">
        <v>398</v>
      </c>
      <c r="I21" s="497" t="s">
        <v>399</v>
      </c>
      <c r="J21" s="42"/>
      <c r="K21" s="1" t="s">
        <v>661</v>
      </c>
      <c r="L21" s="221"/>
    </row>
    <row r="22" spans="2:14" x14ac:dyDescent="0.2">
      <c r="B22" s="52"/>
      <c r="C22" s="65">
        <f ca="1">TDSelected!D38</f>
        <v>21.6</v>
      </c>
      <c r="D22" s="156">
        <f ca="1">TDSelected!F13+$F$5</f>
        <v>-78</v>
      </c>
      <c r="E22" s="362">
        <f ca="1">TDSelected!E38+Calc!$D$5</f>
        <v>24.5</v>
      </c>
      <c r="F22" s="86">
        <f t="shared" ref="F22:F32" ca="1" si="1">MIN(C$2,E22)</f>
        <v>24.5</v>
      </c>
      <c r="G22" s="86">
        <f>IF(ISNUMBER(UserInterface!$I$35)=TRUE,UserInterface!$I$35,0)</f>
        <v>0</v>
      </c>
      <c r="H22" s="631">
        <f ca="1">(10^((-D22+F22-G22+$D$5-$G$5)/20))/IF(TDSelected!$H$4=2,Calc!$J$4,Calc!$J$3)</f>
        <v>870.23653149570634</v>
      </c>
      <c r="I22" s="496" t="b">
        <f ca="1">((E22-F22)&gt;(TDSelected!$E38-0.5))</f>
        <v>0</v>
      </c>
      <c r="J22" s="24"/>
      <c r="K22" s="1" t="s">
        <v>663</v>
      </c>
      <c r="L22" s="1" t="s">
        <v>664</v>
      </c>
    </row>
    <row r="23" spans="2:14" x14ac:dyDescent="0.2">
      <c r="B23" s="52"/>
      <c r="C23" s="65">
        <f ca="1">TDSelected!D39</f>
        <v>43.2</v>
      </c>
      <c r="D23" s="156">
        <f ca="1">TDSelected!F14+$F$5</f>
        <v>-75</v>
      </c>
      <c r="E23" s="362">
        <f ca="1">TDSelected!E39+Calc!$D$5</f>
        <v>24.5</v>
      </c>
      <c r="F23" s="86">
        <f t="shared" ca="1" si="1"/>
        <v>24.5</v>
      </c>
      <c r="G23" s="86">
        <f>IF(ISNUMBER(UserInterface!$I$35)=TRUE,UserInterface!$I$35,0)</f>
        <v>0</v>
      </c>
      <c r="H23" s="631">
        <f ca="1">(10^((-D23+F23-G23+$D$5-$G$5)/20))/IF(TDSelected!$H$4=2,Calc!$J$4,Calc!$J$3)</f>
        <v>616.08028388945922</v>
      </c>
      <c r="I23" s="496" t="b">
        <f ca="1">((E23-F23)&gt;(TDSelected!$E39-0.5))</f>
        <v>0</v>
      </c>
      <c r="J23" s="24"/>
      <c r="K23" s="90"/>
      <c r="L23" s="24"/>
    </row>
    <row r="24" spans="2:14" x14ac:dyDescent="0.2">
      <c r="B24" s="52"/>
      <c r="C24" s="65">
        <f ca="1">TDSelected!D40</f>
        <v>65.099999999999994</v>
      </c>
      <c r="D24" s="156">
        <f ca="1">TDSelected!F15+$F$5</f>
        <v>-73</v>
      </c>
      <c r="E24" s="362">
        <f ca="1">TDSelected!E40+Calc!$D$5</f>
        <v>24.5</v>
      </c>
      <c r="F24" s="86">
        <f t="shared" ca="1" si="1"/>
        <v>24.5</v>
      </c>
      <c r="G24" s="86">
        <f>IF(ISNUMBER(UserInterface!$I$35)=TRUE,UserInterface!$I$35,0)</f>
        <v>0</v>
      </c>
      <c r="H24" s="631">
        <f ca="1">(10^((-D24+F24-G24+$D$5-$G$5)/20))/IF(TDSelected!$H$4=2,Calc!$J$4,Calc!$J$3)</f>
        <v>489.36996435034837</v>
      </c>
      <c r="I24" s="496" t="b">
        <f ca="1">((E24-F24)&gt;(TDSelected!$E40-0.5))</f>
        <v>0</v>
      </c>
      <c r="J24" s="24"/>
      <c r="L24" s="24"/>
    </row>
    <row r="25" spans="2:14" x14ac:dyDescent="0.2">
      <c r="B25" s="52"/>
      <c r="C25" s="65">
        <f ca="1">TDSelected!D41</f>
        <v>86.699999999999989</v>
      </c>
      <c r="D25" s="156">
        <f ca="1">TDSelected!F16+$F$5</f>
        <v>-69</v>
      </c>
      <c r="E25" s="362">
        <f ca="1">TDSelected!E41+Calc!$D$5</f>
        <v>23.5</v>
      </c>
      <c r="F25" s="86">
        <f t="shared" ca="1" si="1"/>
        <v>23.5</v>
      </c>
      <c r="G25" s="86">
        <f>IF(ISNUMBER(UserInterface!$I$35)=TRUE,UserInterface!$I$35,0)</f>
        <v>0</v>
      </c>
      <c r="H25" s="631">
        <f ca="1">(10^((-D25+F25-G25+$D$5-$G$5)/20))/IF(TDSelected!$H$4=2,Calc!$J$4,Calc!$J$3)</f>
        <v>275.19295426112899</v>
      </c>
      <c r="I25" s="496" t="b">
        <f ca="1">((E25-F25)&gt;(TDSelected!$E41-0.5))</f>
        <v>0</v>
      </c>
      <c r="J25" s="24"/>
      <c r="K25" s="90"/>
      <c r="L25" s="24"/>
    </row>
    <row r="26" spans="2:14" x14ac:dyDescent="0.2">
      <c r="B26" s="52"/>
      <c r="C26" s="65">
        <f ca="1">TDSelected!D42</f>
        <v>129.89999999999998</v>
      </c>
      <c r="D26" s="156">
        <f ca="1">TDSelected!F17+$F$5</f>
        <v>-65</v>
      </c>
      <c r="E26" s="362">
        <f ca="1">TDSelected!E42+Calc!$D$5</f>
        <v>22.5</v>
      </c>
      <c r="F26" s="86">
        <f t="shared" ca="1" si="1"/>
        <v>22.5</v>
      </c>
      <c r="G26" s="86">
        <f>IF(ISNUMBER(UserInterface!$I$35)=TRUE,UserInterface!$I$35,0)</f>
        <v>0</v>
      </c>
      <c r="H26" s="631">
        <f ca="1">(10^((-D26+F26-G26+$D$5-$G$5)/20))/IF(TDSelected!$H$4=2,Calc!$J$4,Calc!$J$3)</f>
        <v>154.75237058225048</v>
      </c>
      <c r="I26" s="496" t="b">
        <f ca="1">((E26-F26)&gt;(TDSelected!$E42-0.5))</f>
        <v>0</v>
      </c>
      <c r="J26" s="24"/>
      <c r="K26" s="90"/>
      <c r="L26" s="24"/>
    </row>
    <row r="27" spans="2:14" x14ac:dyDescent="0.2">
      <c r="B27" s="52"/>
      <c r="C27" s="65">
        <f ca="1">TDSelected!D43</f>
        <v>173.39999999999998</v>
      </c>
      <c r="D27" s="156">
        <f ca="1">TDSelected!F18+$F$5</f>
        <v>-64</v>
      </c>
      <c r="E27" s="362">
        <f ca="1">TDSelected!E43+Calc!$D$5</f>
        <v>21.5</v>
      </c>
      <c r="F27" s="86">
        <f t="shared" ca="1" si="1"/>
        <v>21.5</v>
      </c>
      <c r="G27" s="86">
        <f>IF(ISNUMBER(UserInterface!$I$35)=TRUE,UserInterface!$I$35,0)</f>
        <v>0</v>
      </c>
      <c r="H27" s="631">
        <f ca="1">(10^((-D27+F27-G27+$D$5-$G$5)/20))/IF(TDSelected!$H$4=2,Calc!$J$4,Calc!$J$3)</f>
        <v>122.92417734399675</v>
      </c>
      <c r="I27" s="496" t="b">
        <f ca="1">((E27-F27)&gt;(TDSelected!$E43-0.5))</f>
        <v>0</v>
      </c>
      <c r="J27" s="24"/>
      <c r="K27" s="90"/>
      <c r="L27" s="24"/>
    </row>
    <row r="28" spans="2:14" x14ac:dyDescent="0.2">
      <c r="B28" s="52"/>
      <c r="C28" s="65">
        <f ca="1">TDSelected!D44</f>
        <v>195</v>
      </c>
      <c r="D28" s="156">
        <f ca="1">TDSelected!F19+$F$5</f>
        <v>-63</v>
      </c>
      <c r="E28" s="362">
        <f ca="1">TDSelected!E44+Calc!$D$5</f>
        <v>20.5</v>
      </c>
      <c r="F28" s="86">
        <f t="shared" ca="1" si="1"/>
        <v>20.5</v>
      </c>
      <c r="G28" s="86">
        <f>IF(ISNUMBER(UserInterface!$I$35)=TRUE,UserInterface!$I$35,0)</f>
        <v>0</v>
      </c>
      <c r="H28" s="631">
        <f ca="1">(10^((-D28+F28-G28+$D$5-$G$5)/20))/IF(TDSelected!$H$4=2,Calc!$J$4,Calc!$J$3)</f>
        <v>97.642144794591459</v>
      </c>
      <c r="I28" s="496" t="b">
        <f ca="1">((E28-F28)&gt;(TDSelected!$E44-0.5))</f>
        <v>0</v>
      </c>
      <c r="J28" s="24"/>
      <c r="K28" s="90"/>
      <c r="L28" s="24"/>
    </row>
    <row r="29" spans="2:14" x14ac:dyDescent="0.2">
      <c r="B29" s="52"/>
      <c r="C29" s="65">
        <f ca="1">TDSelected!D45</f>
        <v>216.60000000000002</v>
      </c>
      <c r="D29" s="156">
        <f ca="1">TDSelected!F20+$F$5</f>
        <v>-61</v>
      </c>
      <c r="E29" s="362">
        <f ca="1">TDSelected!E45+Calc!$D$5</f>
        <v>19.5</v>
      </c>
      <c r="F29" s="86">
        <f t="shared" ca="1" si="1"/>
        <v>19.5</v>
      </c>
      <c r="G29" s="86">
        <f>IF(ISNUMBER(UserInterface!$I$35)=TRUE,UserInterface!$I$35,0)</f>
        <v>0</v>
      </c>
      <c r="H29" s="631">
        <f ca="1">(10^((-D29+F29-G29+$D$5-$G$5)/20))/IF(TDSelected!$H$4=2,Calc!$J$4,Calc!$J$3)</f>
        <v>69.125344785556663</v>
      </c>
      <c r="I29" s="496" t="b">
        <f ca="1">((E29-F29)&gt;(TDSelected!$E45-0.5))</f>
        <v>0</v>
      </c>
      <c r="J29" s="24"/>
      <c r="K29" s="90"/>
      <c r="L29" s="24"/>
    </row>
    <row r="30" spans="2:14" x14ac:dyDescent="0.2">
      <c r="B30" s="52"/>
      <c r="C30" s="65">
        <f ca="1">IF(TDSelected!D46=0,"",TDSelected!D46)</f>
        <v>260.10000000000002</v>
      </c>
      <c r="D30" s="156">
        <f ca="1">TDSelected!F21+$F$5</f>
        <v>10</v>
      </c>
      <c r="E30" s="362">
        <f ca="1">TDSelected!E46+Calc!$D$5</f>
        <v>18.5</v>
      </c>
      <c r="F30" s="86">
        <f t="shared" ca="1" si="1"/>
        <v>18.5</v>
      </c>
      <c r="G30" s="86">
        <f>IF(ISNUMBER(UserInterface!$I$35)=TRUE,UserInterface!$I$35,0)</f>
        <v>0</v>
      </c>
      <c r="H30" s="631">
        <f ca="1">(10^((-D30+F30-G30+$D$5-$G$5)/20))/IF(TDSelected!$H$4=2,Calc!$J$4,Calc!$J$3)</f>
        <v>1.7363501564026104E-2</v>
      </c>
      <c r="I30" s="496" t="b">
        <f ca="1">IF(C30="","",((E30-F30)&gt;(TDSelected!$E46-0.5)))</f>
        <v>0</v>
      </c>
      <c r="J30" s="24"/>
      <c r="K30" s="90"/>
      <c r="L30" s="24"/>
    </row>
    <row r="31" spans="2:14" x14ac:dyDescent="0.2">
      <c r="B31" s="52"/>
      <c r="C31" s="65" t="str">
        <f ca="1">IF(TDSelected!D47=0,"",TDSelected!D47)</f>
        <v/>
      </c>
      <c r="D31" s="156">
        <f ca="1">TDSelected!F22+$F$5</f>
        <v>10</v>
      </c>
      <c r="E31" s="362">
        <f ca="1">TDSelected!E47+Calc!$D$5</f>
        <v>3.5</v>
      </c>
      <c r="F31" s="86">
        <f t="shared" ca="1" si="1"/>
        <v>3.5</v>
      </c>
      <c r="G31" s="86"/>
      <c r="H31" s="631">
        <f ca="1">(10^((-D31+F31+$D$5-$G$5)/20))/IF(TDSelected!$H$4=2,Calc!$J$4,Calc!$J$3)</f>
        <v>3.0877157317486235E-3</v>
      </c>
      <c r="I31" s="496" t="str">
        <f ca="1">IF(C31="","",((E31-F31)&gt;(TDSelected!$E47-0.5)))</f>
        <v/>
      </c>
      <c r="J31" s="24"/>
      <c r="K31" s="90"/>
      <c r="L31" s="24"/>
    </row>
    <row r="32" spans="2:14" ht="10.5" thickBot="1" x14ac:dyDescent="0.25">
      <c r="B32" s="54"/>
      <c r="C32" s="498" t="str">
        <f ca="1">IF(TDSelected!D48=0,"",TDSelected!D48)</f>
        <v/>
      </c>
      <c r="D32" s="499">
        <f ca="1">TDSelected!F23+$F$5</f>
        <v>10</v>
      </c>
      <c r="E32" s="500">
        <f ca="1">TDSelected!E48+Calc!$D$5</f>
        <v>3.5</v>
      </c>
      <c r="F32" s="501">
        <f t="shared" ca="1" si="1"/>
        <v>3.5</v>
      </c>
      <c r="G32" s="501"/>
      <c r="H32" s="673">
        <f ca="1">(10^((-D32+F32+$D$5-$G$5)/20))/IF(TDSelected!$H$4=2,Calc!$J$4,Calc!$J$3)</f>
        <v>3.0877157317486235E-3</v>
      </c>
      <c r="I32" s="503" t="str">
        <f ca="1">IF(C32="","",((E32-F32)&gt;(TDSelected!$E48-0.5)))</f>
        <v/>
      </c>
      <c r="J32" s="24"/>
      <c r="K32" s="90"/>
      <c r="L32" s="24"/>
    </row>
    <row r="33" spans="2:26" x14ac:dyDescent="0.2">
      <c r="G33" s="372"/>
      <c r="H33" s="24"/>
      <c r="I33" s="24"/>
      <c r="J33" s="24"/>
      <c r="K33" s="24"/>
      <c r="S33" s="888" t="s">
        <v>690</v>
      </c>
      <c r="T33" s="888"/>
      <c r="U33" s="888"/>
      <c r="V33" s="888"/>
      <c r="W33" s="888"/>
      <c r="X33" s="888"/>
    </row>
    <row r="34" spans="2:26" ht="10.5" thickBot="1" x14ac:dyDescent="0.25">
      <c r="G34" s="372"/>
      <c r="H34" s="24"/>
      <c r="I34" s="24"/>
      <c r="J34" s="24"/>
      <c r="K34" s="24"/>
    </row>
    <row r="35" spans="2:26" ht="10.5" x14ac:dyDescent="0.25">
      <c r="B35" s="57" t="s">
        <v>94</v>
      </c>
      <c r="C35" s="492" t="s">
        <v>2</v>
      </c>
      <c r="D35" s="493" t="s">
        <v>394</v>
      </c>
      <c r="E35" s="493" t="s">
        <v>389</v>
      </c>
      <c r="F35" s="493" t="s">
        <v>390</v>
      </c>
      <c r="G35" s="747" t="s">
        <v>696</v>
      </c>
      <c r="H35" s="494" t="s">
        <v>397</v>
      </c>
      <c r="I35" s="495" t="s">
        <v>399</v>
      </c>
      <c r="J35" s="42"/>
      <c r="K35" s="49" t="s">
        <v>583</v>
      </c>
      <c r="L35" s="492" t="s">
        <v>2</v>
      </c>
      <c r="M35" s="493" t="s">
        <v>394</v>
      </c>
      <c r="N35" s="493" t="s">
        <v>389</v>
      </c>
      <c r="O35" s="493" t="s">
        <v>390</v>
      </c>
      <c r="P35" s="747" t="s">
        <v>696</v>
      </c>
      <c r="Q35" s="494" t="s">
        <v>397</v>
      </c>
      <c r="R35" s="495" t="s">
        <v>399</v>
      </c>
      <c r="T35" s="49" t="s">
        <v>668</v>
      </c>
      <c r="U35" s="492" t="s">
        <v>2</v>
      </c>
      <c r="V35" s="493" t="s">
        <v>394</v>
      </c>
      <c r="W35" s="493" t="s">
        <v>389</v>
      </c>
      <c r="X35" s="493" t="s">
        <v>390</v>
      </c>
      <c r="Y35" s="494" t="s">
        <v>397</v>
      </c>
      <c r="Z35" s="495" t="s">
        <v>399</v>
      </c>
    </row>
    <row r="36" spans="2:26" x14ac:dyDescent="0.2">
      <c r="B36" s="52"/>
      <c r="C36" s="65">
        <f ca="1">IF(TDSelected!G13=0,"",TDSelected!G13)</f>
        <v>45</v>
      </c>
      <c r="D36" s="156">
        <f ca="1">TDSelected!I38+Calc!$F$5</f>
        <v>-81</v>
      </c>
      <c r="E36" s="362">
        <f ca="1">TDSelected!H13+Calc!$E$5</f>
        <v>26.5</v>
      </c>
      <c r="F36" s="86">
        <f t="shared" ref="F36:F46" ca="1" si="2">MIN(C$2,E36)</f>
        <v>26.5</v>
      </c>
      <c r="G36" s="86">
        <f>IF(ISNUMBER(UserInterface!$I$35)=TRUE,UserInterface!$I$35,0)</f>
        <v>0</v>
      </c>
      <c r="H36" s="631">
        <f ca="1">(10^((-D36+F36-G36+$D$5-$G$5)/20))/IF(TDSelected!$H$4=2,Calc!$J$4,Calc!$J$3)</f>
        <v>1547.5237058225023</v>
      </c>
      <c r="I36" s="496" t="b">
        <f ca="1">((E36-F36)&gt;(TDSelected!$H13-0.5))</f>
        <v>0</v>
      </c>
      <c r="J36" s="24"/>
      <c r="K36" s="52"/>
      <c r="L36" s="65">
        <f ca="1">IF(TDSelected!J13=0,"",TDSelected!J13)</f>
        <v>97.5</v>
      </c>
      <c r="M36" s="156">
        <f ca="1">TDSelected!L38+$F$5</f>
        <v>-78</v>
      </c>
      <c r="N36" s="362">
        <f ca="1">TDSelected!K13+$E$5</f>
        <v>26.5</v>
      </c>
      <c r="O36" s="86">
        <f t="shared" ref="O36:O46" ca="1" si="3">MIN(C$2,N36)</f>
        <v>26.5</v>
      </c>
      <c r="P36" s="86">
        <f>IF(ISNUMBER(UserInterface!$I$35)=TRUE,UserInterface!$I$35,0)</f>
        <v>0</v>
      </c>
      <c r="Q36" s="631">
        <f ca="1">(10^((-M36+O36-P36+$D$5-$G$5)/20))/IF(TDSelected!$H$4=2,Calc!$J$4,Calc!$J$3)</f>
        <v>1095.562883771561</v>
      </c>
      <c r="R36" s="496" t="b">
        <f ca="1">((N36-O36)&gt;(TDSelected!$K13-0.5))</f>
        <v>0</v>
      </c>
      <c r="T36" s="52"/>
      <c r="U36" s="65">
        <f ca="1">(IFERROR(IF(TDSelected!M13=0,"",TDSelected!M13)/2,""))</f>
        <v>97.5</v>
      </c>
      <c r="V36" s="156">
        <f ca="1">TDSelected!O38+$F$5</f>
        <v>10</v>
      </c>
      <c r="W36" s="362">
        <f ca="1">TDSelected!N13+$E$5</f>
        <v>25.5</v>
      </c>
      <c r="X36" s="86">
        <f t="shared" ref="X36:X46" ca="1" si="4">MIN(C$2,W36)</f>
        <v>25.5</v>
      </c>
      <c r="Y36" s="631">
        <f ca="1">(10^((-V36+X36+$D$5-$G$5)/20))/IF(TDSelected!$H$4=2,Calc!$J$4,Calc!$J$3)</f>
        <v>3.8872037990949675E-2</v>
      </c>
      <c r="Z36" s="496" t="b">
        <f ca="1">((W36-X36)&gt;(TDSelected!$K13-0.5))</f>
        <v>0</v>
      </c>
    </row>
    <row r="37" spans="2:26" x14ac:dyDescent="0.2">
      <c r="B37" s="52"/>
      <c r="C37" s="65">
        <f ca="1">IF(TDSelected!G14=0,"",TDSelected!G14)</f>
        <v>90</v>
      </c>
      <c r="D37" s="156">
        <f ca="1">TDSelected!I39+Calc!$F$5</f>
        <v>-78</v>
      </c>
      <c r="E37" s="362">
        <f ca="1">TDSelected!H14+Calc!$E$5</f>
        <v>26.5</v>
      </c>
      <c r="F37" s="86">
        <f t="shared" ca="1" si="2"/>
        <v>26.5</v>
      </c>
      <c r="G37" s="86">
        <f>IF(ISNUMBER(UserInterface!$I$35)=TRUE,UserInterface!$I$35,0)</f>
        <v>0</v>
      </c>
      <c r="H37" s="631">
        <f ca="1">(10^((-D37+F37-G37+$D$5-$G$5)/20))/IF(TDSelected!$H$4=2,Calc!$J$4,Calc!$J$3)</f>
        <v>1095.562883771561</v>
      </c>
      <c r="I37" s="496" t="b">
        <f ca="1">((E37-F37)&gt;(TDSelected!$H14-0.5))</f>
        <v>0</v>
      </c>
      <c r="J37" s="24"/>
      <c r="K37" s="52"/>
      <c r="L37" s="65">
        <f ca="1">IF(TDSelected!J14=0,"",TDSelected!J14)</f>
        <v>195</v>
      </c>
      <c r="M37" s="156">
        <f ca="1">TDSelected!L39+$F$5</f>
        <v>-75</v>
      </c>
      <c r="N37" s="362">
        <f ca="1">TDSelected!K14+$E$5</f>
        <v>26.5</v>
      </c>
      <c r="O37" s="86">
        <f t="shared" ca="1" si="3"/>
        <v>26.5</v>
      </c>
      <c r="P37" s="86">
        <f>IF(ISNUMBER(UserInterface!$I$35)=TRUE,UserInterface!$I$35,0)</f>
        <v>0</v>
      </c>
      <c r="Q37" s="631">
        <f ca="1">(10^((-M37+O37-P37+$D$5-$G$5)/20))/IF(TDSelected!$H$4=2,Calc!$J$4,Calc!$J$3)</f>
        <v>775.59912509380547</v>
      </c>
      <c r="R37" s="496" t="b">
        <f ca="1">((N37-O37)&gt;(TDSelected!$K14-0.5))</f>
        <v>0</v>
      </c>
      <c r="T37" s="52"/>
      <c r="U37" s="65">
        <f ca="1">(IFERROR(IF(TDSelected!M14=0,"",TDSelected!M14)/2,""))</f>
        <v>195</v>
      </c>
      <c r="V37" s="156">
        <f ca="1">TDSelected!O39+$F$5</f>
        <v>10</v>
      </c>
      <c r="W37" s="362">
        <f ca="1">TDSelected!N14+$E$5</f>
        <v>25.5</v>
      </c>
      <c r="X37" s="86">
        <f t="shared" ca="1" si="4"/>
        <v>25.5</v>
      </c>
      <c r="Y37" s="631">
        <f ca="1">(10^((-V37+X37+$D$5-$G$5)/20))/IF(TDSelected!$H$4=2,Calc!$J$4,Calc!$J$3)</f>
        <v>3.8872037990949675E-2</v>
      </c>
      <c r="Z37" s="496" t="b">
        <f ca="1">((W37-X37)&gt;(TDSelected!$K14-0.5))</f>
        <v>0</v>
      </c>
    </row>
    <row r="38" spans="2:26" x14ac:dyDescent="0.2">
      <c r="B38" s="52"/>
      <c r="C38" s="65">
        <f ca="1">IF(TDSelected!G15=0,"",TDSelected!G15)</f>
        <v>135</v>
      </c>
      <c r="D38" s="156">
        <f ca="1">TDSelected!I40+Calc!$F$5</f>
        <v>-75</v>
      </c>
      <c r="E38" s="362">
        <f ca="1">TDSelected!H15+Calc!$E$5</f>
        <v>25.5</v>
      </c>
      <c r="F38" s="86">
        <f t="shared" ca="1" si="2"/>
        <v>25.5</v>
      </c>
      <c r="G38" s="86">
        <f>IF(ISNUMBER(UserInterface!$I$35)=TRUE,UserInterface!$I$35,0)</f>
        <v>0</v>
      </c>
      <c r="H38" s="631">
        <f ca="1">(10^((-D38+F38-G38+$D$5-$G$5)/20))/IF(TDSelected!$H$4=2,Calc!$J$4,Calc!$J$3)</f>
        <v>691.25344785556547</v>
      </c>
      <c r="I38" s="496" t="b">
        <f ca="1">((E38-F38)&gt;(TDSelected!$H15-0.5))</f>
        <v>0</v>
      </c>
      <c r="J38" s="24"/>
      <c r="K38" s="52"/>
      <c r="L38" s="65">
        <f ca="1">IF(TDSelected!J15=0,"",TDSelected!J15)</f>
        <v>292.5</v>
      </c>
      <c r="M38" s="156">
        <f ca="1">TDSelected!L40+$F$5</f>
        <v>-73</v>
      </c>
      <c r="N38" s="362">
        <f ca="1">TDSelected!K15+$E$5</f>
        <v>25.5</v>
      </c>
      <c r="O38" s="86">
        <f t="shared" ca="1" si="3"/>
        <v>25.5</v>
      </c>
      <c r="P38" s="86">
        <f>IF(ISNUMBER(UserInterface!$I$35)=TRUE,UserInterface!$I$35,0)</f>
        <v>0</v>
      </c>
      <c r="Q38" s="631">
        <f ca="1">(10^((-M38+O38-P38+$D$5-$G$5)/20))/IF(TDSelected!$H$4=2,Calc!$J$4,Calc!$J$3)</f>
        <v>549.08213098218505</v>
      </c>
      <c r="R38" s="496" t="b">
        <f ca="1">((N38-O38)&gt;(TDSelected!$K15-0.5))</f>
        <v>0</v>
      </c>
      <c r="T38" s="52"/>
      <c r="U38" s="65">
        <f ca="1">(IFERROR(IF(TDSelected!M15=0,"",TDSelected!M15)/2,""))</f>
        <v>292.5</v>
      </c>
      <c r="V38" s="156">
        <f ca="1">TDSelected!O40+$F$5</f>
        <v>10</v>
      </c>
      <c r="W38" s="362">
        <f ca="1">TDSelected!N15+$E$5</f>
        <v>24.5</v>
      </c>
      <c r="X38" s="86">
        <f t="shared" ca="1" si="4"/>
        <v>24.5</v>
      </c>
      <c r="Y38" s="631">
        <f ca="1">(10^((-V38+X38+$D$5-$G$5)/20))/IF(TDSelected!$H$4=2,Calc!$J$4,Calc!$J$3)</f>
        <v>3.4644740326604494E-2</v>
      </c>
      <c r="Z38" s="496" t="b">
        <f ca="1">((W38-X38)&gt;(TDSelected!$K15-0.5))</f>
        <v>0</v>
      </c>
    </row>
    <row r="39" spans="2:26" x14ac:dyDescent="0.2">
      <c r="B39" s="52"/>
      <c r="C39" s="65">
        <f ca="1">IF(TDSelected!G16=0,"",TDSelected!G16)</f>
        <v>180</v>
      </c>
      <c r="D39" s="156">
        <f ca="1">TDSelected!I41+Calc!$F$5</f>
        <v>-72</v>
      </c>
      <c r="E39" s="362">
        <f ca="1">TDSelected!H16+Calc!$E$5</f>
        <v>25.5</v>
      </c>
      <c r="F39" s="86">
        <f t="shared" ca="1" si="2"/>
        <v>25.5</v>
      </c>
      <c r="G39" s="86">
        <f>IF(ISNUMBER(UserInterface!$I$35)=TRUE,UserInterface!$I$35,0)</f>
        <v>0</v>
      </c>
      <c r="H39" s="631">
        <f ca="1">(10^((-D39+F39-G39+$D$5-$G$5)/20))/IF(TDSelected!$H$4=2,Calc!$J$4,Calc!$J$3)</f>
        <v>489.36996435034837</v>
      </c>
      <c r="I39" s="496" t="b">
        <f ca="1">((E39-F39)&gt;(TDSelected!$H16-0.5))</f>
        <v>0</v>
      </c>
      <c r="J39" s="24"/>
      <c r="K39" s="52"/>
      <c r="L39" s="65">
        <f ca="1">IF(TDSelected!J16=0,"",TDSelected!J16)</f>
        <v>390</v>
      </c>
      <c r="M39" s="156">
        <f ca="1">TDSelected!L41+$F$5</f>
        <v>-69</v>
      </c>
      <c r="N39" s="362">
        <f ca="1">TDSelected!K16+$E$5</f>
        <v>25.5</v>
      </c>
      <c r="O39" s="86">
        <f t="shared" ca="1" si="3"/>
        <v>25.5</v>
      </c>
      <c r="P39" s="86">
        <f>IF(ISNUMBER(UserInterface!$I$35)=TRUE,UserInterface!$I$35,0)</f>
        <v>0</v>
      </c>
      <c r="Q39" s="631">
        <f ca="1">(10^((-M39+O39-P39+$D$5-$G$5)/20))/IF(TDSelected!$H$4=2,Calc!$J$4,Calc!$J$3)</f>
        <v>346.44740326604517</v>
      </c>
      <c r="R39" s="496" t="b">
        <f ca="1">((N39-O39)&gt;(TDSelected!$K16-0.5))</f>
        <v>0</v>
      </c>
      <c r="T39" s="52"/>
      <c r="U39" s="65">
        <f ca="1">(IFERROR(IF(TDSelected!M16=0,"",TDSelected!M16)/2,""))</f>
        <v>390</v>
      </c>
      <c r="V39" s="156">
        <f ca="1">TDSelected!O41+$F$5</f>
        <v>10</v>
      </c>
      <c r="W39" s="362">
        <f ca="1">TDSelected!N16+$E$5</f>
        <v>24.5</v>
      </c>
      <c r="X39" s="86">
        <f t="shared" ca="1" si="4"/>
        <v>24.5</v>
      </c>
      <c r="Y39" s="631">
        <f ca="1">(10^((-V39+X39+$D$5-$G$5)/20))/IF(TDSelected!$H$4=2,Calc!$J$4,Calc!$J$3)</f>
        <v>3.4644740326604494E-2</v>
      </c>
      <c r="Z39" s="496" t="b">
        <f ca="1">((W39-X39)&gt;(TDSelected!$K16-0.5))</f>
        <v>0</v>
      </c>
    </row>
    <row r="40" spans="2:26" x14ac:dyDescent="0.2">
      <c r="B40" s="52"/>
      <c r="C40" s="65">
        <f ca="1">IF(TDSelected!G17=0,"",TDSelected!G17)</f>
        <v>270</v>
      </c>
      <c r="D40" s="156">
        <f ca="1">TDSelected!I42+Calc!$F$5</f>
        <v>-69</v>
      </c>
      <c r="E40" s="362">
        <f ca="1">TDSelected!H17+Calc!$E$5</f>
        <v>24.5</v>
      </c>
      <c r="F40" s="86">
        <f t="shared" ca="1" si="2"/>
        <v>24.5</v>
      </c>
      <c r="G40" s="86">
        <f>IF(ISNUMBER(UserInterface!$I$35)=TRUE,UserInterface!$I$35,0)</f>
        <v>0</v>
      </c>
      <c r="H40" s="631">
        <f ca="1">(10^((-D40+F40-G40+$D$5-$G$5)/20))/IF(TDSelected!$H$4=2,Calc!$J$4,Calc!$J$3)</f>
        <v>308.7715731748624</v>
      </c>
      <c r="I40" s="496" t="b">
        <f ca="1">((E40-F40)&gt;(TDSelected!$H17-0.5))</f>
        <v>0</v>
      </c>
      <c r="J40" s="24"/>
      <c r="K40" s="52"/>
      <c r="L40" s="65">
        <f ca="1">IF(TDSelected!J17=0,"",TDSelected!J17)</f>
        <v>585</v>
      </c>
      <c r="M40" s="156">
        <f ca="1">TDSelected!L42+$F$5</f>
        <v>-66</v>
      </c>
      <c r="N40" s="362">
        <f ca="1">TDSelected!K17+$E$5</f>
        <v>24.5</v>
      </c>
      <c r="O40" s="86">
        <f t="shared" ca="1" si="3"/>
        <v>24.5</v>
      </c>
      <c r="P40" s="86">
        <f>IF(ISNUMBER(UserInterface!$I$35)=TRUE,UserInterface!$I$35,0)</f>
        <v>0</v>
      </c>
      <c r="Q40" s="631">
        <f ca="1">(10^((-M40+O40-P40+$D$5-$G$5)/20))/IF(TDSelected!$H$4=2,Calc!$J$4,Calc!$J$3)</f>
        <v>218.59353356680251</v>
      </c>
      <c r="R40" s="496" t="b">
        <f ca="1">((N40-O40)&gt;(TDSelected!$K17-0.5))</f>
        <v>0</v>
      </c>
      <c r="T40" s="52"/>
      <c r="U40" s="65">
        <f ca="1">(IFERROR(IF(TDSelected!M17=0,"",TDSelected!M17)/2,""))</f>
        <v>585</v>
      </c>
      <c r="V40" s="156">
        <f ca="1">TDSelected!O42+$F$5</f>
        <v>10</v>
      </c>
      <c r="W40" s="362">
        <f ca="1">TDSelected!N17+$E$5</f>
        <v>23.5</v>
      </c>
      <c r="X40" s="86">
        <f t="shared" ca="1" si="4"/>
        <v>23.5</v>
      </c>
      <c r="Y40" s="631">
        <f ca="1">(10^((-V40+X40+$D$5-$G$5)/20))/IF(TDSelected!$H$4=2,Calc!$J$4,Calc!$J$3)</f>
        <v>3.0877157317486262E-2</v>
      </c>
      <c r="Z40" s="496" t="b">
        <f ca="1">((W40-X40)&gt;(TDSelected!$K17-0.5))</f>
        <v>0</v>
      </c>
    </row>
    <row r="41" spans="2:26" x14ac:dyDescent="0.2">
      <c r="B41" s="52"/>
      <c r="C41" s="65">
        <f ca="1">IF(TDSelected!G18=0,"",TDSelected!G18)</f>
        <v>360</v>
      </c>
      <c r="D41" s="156">
        <f ca="1">TDSelected!I43+Calc!$F$5</f>
        <v>-65</v>
      </c>
      <c r="E41" s="362">
        <f ca="1">TDSelected!H18+Calc!$E$5</f>
        <v>24.5</v>
      </c>
      <c r="F41" s="86">
        <f t="shared" ca="1" si="2"/>
        <v>24.5</v>
      </c>
      <c r="G41" s="86">
        <f>IF(ISNUMBER(UserInterface!$I$35)=TRUE,UserInterface!$I$35,0)</f>
        <v>0</v>
      </c>
      <c r="H41" s="631">
        <f ca="1">(10^((-D41+F41-G41+$D$5-$G$5)/20))/IF(TDSelected!$H$4=2,Calc!$J$4,Calc!$J$3)</f>
        <v>194.82169186138324</v>
      </c>
      <c r="I41" s="496" t="b">
        <f ca="1">((E41-F41)&gt;(TDSelected!$H18-0.5))</f>
        <v>0</v>
      </c>
      <c r="J41" s="24"/>
      <c r="K41" s="52"/>
      <c r="L41" s="65">
        <f ca="1">IF(TDSelected!J18=0,"",TDSelected!J18)</f>
        <v>780</v>
      </c>
      <c r="M41" s="156">
        <f ca="1">TDSelected!L43+$F$5</f>
        <v>-61</v>
      </c>
      <c r="N41" s="362">
        <f ca="1">TDSelected!K18+$E$5</f>
        <v>24.5</v>
      </c>
      <c r="O41" s="86">
        <f t="shared" ca="1" si="3"/>
        <v>24.5</v>
      </c>
      <c r="P41" s="86">
        <f>IF(ISNUMBER(UserInterface!$I$35)=TRUE,UserInterface!$I$35,0)</f>
        <v>0</v>
      </c>
      <c r="Q41" s="631">
        <f ca="1">(10^((-M41+O41-P41+$D$5-$G$5)/20))/IF(TDSelected!$H$4=2,Calc!$J$4,Calc!$J$3)</f>
        <v>122.92417734399675</v>
      </c>
      <c r="R41" s="496" t="b">
        <f ca="1">((N41-O41)&gt;(TDSelected!$K18-0.5))</f>
        <v>0</v>
      </c>
      <c r="T41" s="52"/>
      <c r="U41" s="65">
        <f ca="1">(IFERROR(IF(TDSelected!M18=0,"",TDSelected!M18)/2,""))</f>
        <v>780</v>
      </c>
      <c r="V41" s="156">
        <f ca="1">TDSelected!O43+$F$5</f>
        <v>10</v>
      </c>
      <c r="W41" s="362">
        <f ca="1">TDSelected!N18+$E$5</f>
        <v>23.5</v>
      </c>
      <c r="X41" s="86">
        <f t="shared" ca="1" si="4"/>
        <v>23.5</v>
      </c>
      <c r="Y41" s="631">
        <f ca="1">(10^((-V41+X41+$D$5-$G$5)/20))/IF(TDSelected!$H$4=2,Calc!$J$4,Calc!$J$3)</f>
        <v>3.0877157317486262E-2</v>
      </c>
      <c r="Z41" s="496" t="b">
        <f ca="1">((W41-X41)&gt;(TDSelected!$K18-0.5))</f>
        <v>0</v>
      </c>
    </row>
    <row r="42" spans="2:26" x14ac:dyDescent="0.2">
      <c r="B42" s="52"/>
      <c r="C42" s="65">
        <f ca="1">IF(TDSelected!G19=0,"",TDSelected!G19)</f>
        <v>405</v>
      </c>
      <c r="D42" s="156">
        <f ca="1">TDSelected!I44+Calc!$F$5</f>
        <v>-63</v>
      </c>
      <c r="E42" s="362">
        <f ca="1">TDSelected!H19+Calc!$E$5</f>
        <v>23.5</v>
      </c>
      <c r="F42" s="86">
        <f t="shared" ca="1" si="2"/>
        <v>23.5</v>
      </c>
      <c r="G42" s="86">
        <f>IF(ISNUMBER(UserInterface!$I$35)=TRUE,UserInterface!$I$35,0)</f>
        <v>0</v>
      </c>
      <c r="H42" s="631">
        <f ca="1">(10^((-D42+F42-G42+$D$5-$G$5)/20))/IF(TDSelected!$H$4=2,Calc!$J$4,Calc!$J$3)</f>
        <v>137.9231954598516</v>
      </c>
      <c r="I42" s="496" t="b">
        <f ca="1">((E42-F42)&gt;(TDSelected!$H19-0.5))</f>
        <v>0</v>
      </c>
      <c r="J42" s="24"/>
      <c r="K42" s="52"/>
      <c r="L42" s="65">
        <f ca="1">IF(TDSelected!J19=0,"",TDSelected!J19)</f>
        <v>877.5</v>
      </c>
      <c r="M42" s="156">
        <f ca="1">TDSelected!L44+$F$5</f>
        <v>-59</v>
      </c>
      <c r="N42" s="362">
        <f ca="1">TDSelected!K19+$E$5</f>
        <v>23.5</v>
      </c>
      <c r="O42" s="86">
        <f t="shared" ca="1" si="3"/>
        <v>23.5</v>
      </c>
      <c r="P42" s="86">
        <f>IF(ISNUMBER(UserInterface!$I$35)=TRUE,UserInterface!$I$35,0)</f>
        <v>0</v>
      </c>
      <c r="Q42" s="631">
        <f ca="1">(10^((-M42+O42-P42+$D$5-$G$5)/20))/IF(TDSelected!$H$4=2,Calc!$J$4,Calc!$J$3)</f>
        <v>87.023653149570706</v>
      </c>
      <c r="R42" s="496" t="b">
        <f ca="1">((N42-O42)&gt;(TDSelected!$K19-0.5))</f>
        <v>0</v>
      </c>
      <c r="T42" s="52"/>
      <c r="U42" s="65">
        <f ca="1">(IFERROR(IF(TDSelected!M19=0,"",TDSelected!M19)/2,""))</f>
        <v>877.5</v>
      </c>
      <c r="V42" s="156">
        <f ca="1">TDSelected!O44+$F$5</f>
        <v>10</v>
      </c>
      <c r="W42" s="362">
        <f ca="1">TDSelected!N19+$E$5</f>
        <v>22.5</v>
      </c>
      <c r="X42" s="86">
        <f t="shared" ca="1" si="4"/>
        <v>22.5</v>
      </c>
      <c r="Y42" s="631">
        <f ca="1">(10^((-V42+X42+$D$5-$G$5)/20))/IF(TDSelected!$H$4=2,Calc!$J$4,Calc!$J$3)</f>
        <v>2.751929542611287E-2</v>
      </c>
      <c r="Z42" s="496" t="b">
        <f ca="1">((W42-X42)&gt;(TDSelected!$K19-0.5))</f>
        <v>0</v>
      </c>
    </row>
    <row r="43" spans="2:26" x14ac:dyDescent="0.2">
      <c r="B43" s="52"/>
      <c r="C43" s="65">
        <f ca="1">IF(TDSelected!G20=0,"",TDSelected!G20)</f>
        <v>450</v>
      </c>
      <c r="D43" s="156">
        <f ca="1">TDSelected!I45+Calc!$F$5</f>
        <v>-62</v>
      </c>
      <c r="E43" s="362">
        <f ca="1">TDSelected!H20+Calc!$E$5</f>
        <v>23.5</v>
      </c>
      <c r="F43" s="86">
        <f t="shared" ca="1" si="2"/>
        <v>23.5</v>
      </c>
      <c r="G43" s="86">
        <f>IF(ISNUMBER(UserInterface!$I$35)=TRUE,UserInterface!$I$35,0)</f>
        <v>0</v>
      </c>
      <c r="H43" s="631">
        <f ca="1">(10^((-D43+F43-G43+$D$5-$G$5)/20))/IF(TDSelected!$H$4=2,Calc!$J$4,Calc!$J$3)</f>
        <v>122.92417734399675</v>
      </c>
      <c r="I43" s="496" t="b">
        <f ca="1">((E43-F43)&gt;(TDSelected!$H20-0.5))</f>
        <v>0</v>
      </c>
      <c r="J43" s="24"/>
      <c r="K43" s="52"/>
      <c r="L43" s="65">
        <f ca="1">IF(TDSelected!J20=0,"",TDSelected!J20)</f>
        <v>975</v>
      </c>
      <c r="M43" s="156">
        <f ca="1">TDSelected!L45+$F$5</f>
        <v>-59</v>
      </c>
      <c r="N43" s="362">
        <f ca="1">TDSelected!K20+$E$5</f>
        <v>23.5</v>
      </c>
      <c r="O43" s="86">
        <f t="shared" ca="1" si="3"/>
        <v>23.5</v>
      </c>
      <c r="P43" s="86">
        <f>IF(ISNUMBER(UserInterface!$I$35)=TRUE,UserInterface!$I$35,0)</f>
        <v>0</v>
      </c>
      <c r="Q43" s="631">
        <f ca="1">(10^((-M43+O43-P43+$D$5-$G$5)/20))/IF(TDSelected!$H$4=2,Calc!$J$4,Calc!$J$3)</f>
        <v>87.023653149570706</v>
      </c>
      <c r="R43" s="496" t="b">
        <f ca="1">((N43-O43)&gt;(TDSelected!$K20-0.5))</f>
        <v>0</v>
      </c>
      <c r="T43" s="52"/>
      <c r="U43" s="65">
        <f ca="1">(IFERROR(IF(TDSelected!M20=0,"",TDSelected!M20)/2,""))</f>
        <v>975</v>
      </c>
      <c r="V43" s="156">
        <f ca="1">TDSelected!O45+$F$5</f>
        <v>10</v>
      </c>
      <c r="W43" s="362">
        <f ca="1">TDSelected!N20+$E$5</f>
        <v>22.5</v>
      </c>
      <c r="X43" s="86">
        <f t="shared" ca="1" si="4"/>
        <v>22.5</v>
      </c>
      <c r="Y43" s="631">
        <f ca="1">(10^((-V43+X43+$D$5-$G$5)/20))/IF(TDSelected!$H$4=2,Calc!$J$4,Calc!$J$3)</f>
        <v>2.751929542611287E-2</v>
      </c>
      <c r="Z43" s="496" t="b">
        <f ca="1">((W43-X43)&gt;(TDSelected!$K20-0.5))</f>
        <v>0</v>
      </c>
    </row>
    <row r="44" spans="2:26" x14ac:dyDescent="0.2">
      <c r="B44" s="52"/>
      <c r="C44" s="65" t="str">
        <f ca="1">IF(TDSelected!G21=0,"",TDSelected!G21)</f>
        <v/>
      </c>
      <c r="D44" s="156">
        <f ca="1">TDSelected!I46+Calc!$F$5</f>
        <v>-59</v>
      </c>
      <c r="E44" s="362">
        <f ca="1">TDSelected!H21+Calc!$E$5</f>
        <v>3.5</v>
      </c>
      <c r="F44" s="86">
        <f t="shared" ca="1" si="2"/>
        <v>3.5</v>
      </c>
      <c r="G44" s="86">
        <f>IF(ISNUMBER(UserInterface!$I$35)=TRUE,UserInterface!$I$35,0)</f>
        <v>0</v>
      </c>
      <c r="H44" s="631">
        <f ca="1">(10^((-D44+F44-G44+$D$5-$G$5)/20))/IF(TDSelected!$H$4=2,Calc!$J$4,Calc!$J$3)</f>
        <v>8.7023653149570688</v>
      </c>
      <c r="I44" s="496" t="str">
        <f ca="1">IF(C44="","",((E44-F44)&gt;(TDSelected!$H21-0.5)))</f>
        <v/>
      </c>
      <c r="J44" s="24"/>
      <c r="K44" s="52"/>
      <c r="L44" s="65">
        <f ca="1">IF(TDSelected!J21=0,"",TDSelected!J21)</f>
        <v>1170</v>
      </c>
      <c r="M44" s="156">
        <f ca="1">TDSelected!L46+$F$5</f>
        <v>-55</v>
      </c>
      <c r="N44" s="362">
        <f ca="1">TDSelected!K21+$E$5</f>
        <v>22.5</v>
      </c>
      <c r="O44" s="86">
        <f t="shared" ca="1" si="3"/>
        <v>22.5</v>
      </c>
      <c r="P44" s="86">
        <f>IF(ISNUMBER(UserInterface!$I$35)=TRUE,UserInterface!$I$35,0)</f>
        <v>0</v>
      </c>
      <c r="Q44" s="631">
        <f ca="1">(10^((-M44+O44-P44+$D$5-$G$5)/20))/IF(TDSelected!$H$4=2,Calc!$J$4,Calc!$J$3)</f>
        <v>48.936996435034871</v>
      </c>
      <c r="R44" s="496" t="b">
        <f ca="1">IF(L44="","",((N44-O44)&gt;(TDSelected!$K21-0.5)))</f>
        <v>0</v>
      </c>
      <c r="T44" s="52"/>
      <c r="U44" s="65">
        <f ca="1">(IFERROR(IF(TDSelected!M21=0,"",TDSelected!M21)/2,""))</f>
        <v>1170</v>
      </c>
      <c r="V44" s="156">
        <f ca="1">TDSelected!O46+$F$5</f>
        <v>10</v>
      </c>
      <c r="W44" s="362">
        <f ca="1">TDSelected!N21+$E$5</f>
        <v>21.5</v>
      </c>
      <c r="X44" s="86">
        <f t="shared" ca="1" si="4"/>
        <v>21.5</v>
      </c>
      <c r="Y44" s="631">
        <f ca="1">(10^((-V44+X44+$D$5-$G$5)/20))/IF(TDSelected!$H$4=2,Calc!$J$4,Calc!$J$3)</f>
        <v>2.4526597865302788E-2</v>
      </c>
      <c r="Z44" s="496" t="b">
        <f ca="1">IF(U44="","",((W44-X44)&gt;(TDSelected!$K21-0.5)))</f>
        <v>0</v>
      </c>
    </row>
    <row r="45" spans="2:26" x14ac:dyDescent="0.2">
      <c r="B45" s="52"/>
      <c r="C45" s="65" t="str">
        <f ca="1">IF(TDSelected!G22=0,"",TDSelected!G22)</f>
        <v/>
      </c>
      <c r="D45" s="156">
        <f ca="1">TDSelected!I47+Calc!$F$5</f>
        <v>-56</v>
      </c>
      <c r="E45" s="362">
        <f ca="1">TDSelected!H22+Calc!$E$5</f>
        <v>3.5</v>
      </c>
      <c r="F45" s="86">
        <f t="shared" ca="1" si="2"/>
        <v>3.5</v>
      </c>
      <c r="G45" s="86">
        <f>IF(ISNUMBER(UserInterface!$I$35)=TRUE,UserInterface!$I$35,0)</f>
        <v>0</v>
      </c>
      <c r="H45" s="631">
        <f ca="1">(10^((-D45+F45-G45+$D$5-$G$5)/20))/IF(TDSelected!$H$4=2,Calc!$J$4,Calc!$J$3)</f>
        <v>6.1608028388945941</v>
      </c>
      <c r="I45" s="496" t="str">
        <f ca="1">IF(C45="","",((E45-F45)&gt;(TDSelected!$H22-0.5)))</f>
        <v/>
      </c>
      <c r="J45" s="24"/>
      <c r="K45" s="52"/>
      <c r="L45" s="65">
        <f ca="1">IF(TDSelected!J22=0,"",TDSelected!J22)</f>
        <v>1299.9000000000001</v>
      </c>
      <c r="M45" s="156">
        <f ca="1">TDSelected!L47+$F$5</f>
        <v>-52</v>
      </c>
      <c r="N45" s="362">
        <f ca="1">TDSelected!K22+$E$5</f>
        <v>21.5</v>
      </c>
      <c r="O45" s="86">
        <f t="shared" ca="1" si="3"/>
        <v>21.5</v>
      </c>
      <c r="P45" s="86">
        <f>IF(ISNUMBER(UserInterface!$I$35)=TRUE,UserInterface!$I$35,0)</f>
        <v>0</v>
      </c>
      <c r="Q45" s="631">
        <f ca="1">(10^((-M45+O45-P45+$D$5-$G$5)/20))/IF(TDSelected!$H$4=2,Calc!$J$4,Calc!$J$3)</f>
        <v>30.877157317486262</v>
      </c>
      <c r="R45" s="496" t="b">
        <f ca="1">IF(L45="","",((N45-O45)&gt;(TDSelected!$K22-0.5)))</f>
        <v>0</v>
      </c>
      <c r="T45" s="52"/>
      <c r="U45" s="65">
        <f ca="1">(IFERROR(IF(TDSelected!M22=0,"",TDSelected!M22)/2,""))</f>
        <v>1300.0500000000002</v>
      </c>
      <c r="V45" s="156">
        <f ca="1">TDSelected!O47+$F$5</f>
        <v>10</v>
      </c>
      <c r="W45" s="362">
        <f ca="1">TDSelected!N22+$E$5</f>
        <v>20.5</v>
      </c>
      <c r="X45" s="86">
        <f t="shared" ca="1" si="4"/>
        <v>20.5</v>
      </c>
      <c r="Y45" s="631">
        <f ca="1">(10^((-V45+X45+$D$5-$G$5)/20))/IF(TDSelected!$H$4=2,Calc!$J$4,Calc!$J$3)</f>
        <v>2.1859353356680235E-2</v>
      </c>
      <c r="Z45" s="496" t="b">
        <f ca="1">IF(U45="","",((W45-X45)&gt;(TDSelected!$K22-0.5)))</f>
        <v>0</v>
      </c>
    </row>
    <row r="46" spans="2:26" x14ac:dyDescent="0.2">
      <c r="B46" s="52"/>
      <c r="C46" s="65" t="str">
        <f ca="1">IF(TDSelected!G23=0,"",TDSelected!G23)</f>
        <v/>
      </c>
      <c r="D46" s="156">
        <f ca="1">TDSelected!I48+Calc!$F$5</f>
        <v>10</v>
      </c>
      <c r="E46" s="362">
        <f ca="1">TDSelected!H23+Calc!$E$5</f>
        <v>3.5</v>
      </c>
      <c r="F46" s="86">
        <f t="shared" ca="1" si="2"/>
        <v>3.5</v>
      </c>
      <c r="G46" s="86"/>
      <c r="H46" s="371" t="str">
        <f ca="1">IF(C46="","",(10^((D46-F46-$D$5-$G$5)/-20)))</f>
        <v/>
      </c>
      <c r="I46" s="496" t="str">
        <f ca="1">IF(C46="","",((E46-F46)&gt;(TDSelected!$H23-0.5)))</f>
        <v/>
      </c>
      <c r="J46" s="24"/>
      <c r="K46" s="52"/>
      <c r="L46" s="65" t="str">
        <f ca="1">IF(TDSelected!J23=0,"",TDSelected!J23)</f>
        <v/>
      </c>
      <c r="M46" s="156">
        <f ca="1">TDSelected!L48+$F$5</f>
        <v>10</v>
      </c>
      <c r="N46" s="362">
        <f ca="1">TDSelected!K23+$E$5</f>
        <v>3.5</v>
      </c>
      <c r="O46" s="86">
        <f t="shared" ca="1" si="3"/>
        <v>3.5</v>
      </c>
      <c r="P46" s="86"/>
      <c r="Q46" s="371" t="str">
        <f ca="1">IF(L46="","",(10^((M46-O46-$D$5-$G$5)/-20)))</f>
        <v/>
      </c>
      <c r="R46" s="496" t="str">
        <f ca="1">IF(L46="","",((N46-O46)&gt;(TDSelected!$K23-0.5)))</f>
        <v/>
      </c>
      <c r="T46" s="52"/>
      <c r="U46" s="65" t="str">
        <f ca="1">IF(TDSelected!M23=0,"",TDSelected!M23)</f>
        <v/>
      </c>
      <c r="V46" s="156">
        <f ca="1">TDSelected!O48+$F$5</f>
        <v>10</v>
      </c>
      <c r="W46" s="362">
        <f ca="1">TDSelected!N23+$E$5</f>
        <v>3.5</v>
      </c>
      <c r="X46" s="86">
        <f t="shared" ca="1" si="4"/>
        <v>3.5</v>
      </c>
      <c r="Y46" s="371" t="str">
        <f ca="1">IF(U46="","",(10^((V46-X46-$D$5-$G$5)/-20)))</f>
        <v/>
      </c>
      <c r="Z46" s="496" t="str">
        <f ca="1">IF(U46="","",((W46-X46)&gt;(TDSelected!$K23-0.5)))</f>
        <v/>
      </c>
    </row>
    <row r="47" spans="2:26" x14ac:dyDescent="0.2">
      <c r="B47" s="52"/>
      <c r="C47" s="2"/>
      <c r="D47" s="2"/>
      <c r="E47" s="2"/>
      <c r="F47" s="2"/>
      <c r="G47" s="2"/>
      <c r="H47" s="374"/>
      <c r="I47" s="308"/>
      <c r="J47" s="24"/>
      <c r="K47" s="52"/>
      <c r="L47" s="2"/>
      <c r="M47" s="2"/>
      <c r="N47" s="2"/>
      <c r="O47" s="2"/>
      <c r="P47" s="2"/>
      <c r="Q47" s="374"/>
      <c r="R47" s="308"/>
      <c r="T47" s="52"/>
      <c r="U47" s="2"/>
      <c r="V47" s="2"/>
      <c r="W47" s="2"/>
      <c r="X47" s="2"/>
      <c r="Y47" s="374"/>
      <c r="Z47" s="308"/>
    </row>
    <row r="48" spans="2:26" x14ac:dyDescent="0.2">
      <c r="B48" s="52"/>
      <c r="C48" s="2"/>
      <c r="D48" s="2"/>
      <c r="E48" s="2"/>
      <c r="F48" s="2"/>
      <c r="G48" s="2"/>
      <c r="H48" s="374"/>
      <c r="I48" s="308"/>
      <c r="J48" s="24"/>
      <c r="K48" s="52"/>
      <c r="L48" s="2"/>
      <c r="M48" s="2"/>
      <c r="N48" s="2"/>
      <c r="O48" s="2"/>
      <c r="P48" s="2"/>
      <c r="Q48" s="374"/>
      <c r="R48" s="308"/>
      <c r="T48" s="52"/>
      <c r="U48" s="2"/>
      <c r="V48" s="2"/>
      <c r="W48" s="2"/>
      <c r="X48" s="2"/>
      <c r="Y48" s="374"/>
      <c r="Z48" s="308"/>
    </row>
    <row r="49" spans="2:26" ht="10.5" x14ac:dyDescent="0.25">
      <c r="B49" s="107" t="s">
        <v>95</v>
      </c>
      <c r="C49" s="220" t="s">
        <v>2</v>
      </c>
      <c r="D49" s="42" t="s">
        <v>394</v>
      </c>
      <c r="E49" s="42" t="s">
        <v>389</v>
      </c>
      <c r="F49" s="42" t="s">
        <v>390</v>
      </c>
      <c r="G49" s="42"/>
      <c r="H49" s="373" t="s">
        <v>398</v>
      </c>
      <c r="I49" s="497" t="s">
        <v>399</v>
      </c>
      <c r="J49" s="42"/>
      <c r="K49" s="504" t="s">
        <v>582</v>
      </c>
      <c r="L49" s="220" t="s">
        <v>2</v>
      </c>
      <c r="M49" s="42" t="s">
        <v>394</v>
      </c>
      <c r="N49" s="42" t="s">
        <v>389</v>
      </c>
      <c r="O49" s="42" t="s">
        <v>390</v>
      </c>
      <c r="P49" s="748" t="s">
        <v>696</v>
      </c>
      <c r="Q49" s="373" t="s">
        <v>398</v>
      </c>
      <c r="R49" s="497" t="s">
        <v>399</v>
      </c>
      <c r="T49" s="504" t="s">
        <v>669</v>
      </c>
      <c r="U49" s="220" t="s">
        <v>2</v>
      </c>
      <c r="V49" s="42" t="s">
        <v>394</v>
      </c>
      <c r="W49" s="42" t="s">
        <v>389</v>
      </c>
      <c r="X49" s="42" t="s">
        <v>390</v>
      </c>
      <c r="Y49" s="373" t="s">
        <v>398</v>
      </c>
      <c r="Z49" s="497" t="s">
        <v>399</v>
      </c>
    </row>
    <row r="50" spans="2:26" x14ac:dyDescent="0.2">
      <c r="B50" s="52"/>
      <c r="C50" s="65">
        <f ca="1">IF(TDSelected!G38=0,"",TDSelected!G38)</f>
        <v>45</v>
      </c>
      <c r="D50" s="156">
        <f ca="1">TDSelected!I13+$F$5</f>
        <v>-79</v>
      </c>
      <c r="E50" s="362">
        <f ca="1">TDSelected!H38+Calc!$D$5</f>
        <v>24.5</v>
      </c>
      <c r="F50" s="86">
        <f t="shared" ref="F50:F60" ca="1" si="5">MIN(C$2,E50)</f>
        <v>24.5</v>
      </c>
      <c r="G50" s="86">
        <f>IF(ISNUMBER(UserInterface!$I$35)=TRUE,UserInterface!$I$35,0)</f>
        <v>0</v>
      </c>
      <c r="H50" s="631">
        <f ca="1">(10^((-D50+F50-G50+$D$5-$G$5)/20))/IF(TDSelected!$H$4=2,Calc!$J$4,Calc!$J$3)</f>
        <v>976.421447945914</v>
      </c>
      <c r="I50" s="496" t="b">
        <f ca="1">((E50-F50)&gt;(TDSelected!$H38-0.5))</f>
        <v>0</v>
      </c>
      <c r="J50" s="24"/>
      <c r="K50" s="52"/>
      <c r="L50" s="65">
        <f ca="1">IF(TDSelected!J38=0,"",TDSelected!J38)</f>
        <v>97.5</v>
      </c>
      <c r="M50" s="156">
        <f ca="1">TDSelected!L13+$F$5</f>
        <v>-79</v>
      </c>
      <c r="N50" s="362">
        <f ca="1">TDSelected!K38+$D$5</f>
        <v>23.5</v>
      </c>
      <c r="O50" s="86">
        <f t="shared" ref="O50:O60" ca="1" si="6">MIN(C$2,N50)</f>
        <v>23.5</v>
      </c>
      <c r="P50" s="86">
        <f>IF(ISNUMBER(UserInterface!$I$35)=TRUE,UserInterface!$I$35,0)</f>
        <v>0</v>
      </c>
      <c r="Q50" s="631">
        <f ca="1">(10^((-M50+O50-P50+$D$5-$G$5)/20))/IF(TDSelected!$H$4=2,Calc!$J$4,Calc!$J$3)</f>
        <v>870.23653149570634</v>
      </c>
      <c r="R50" s="496" t="b">
        <f ca="1">((N50-O50)&gt;(TDSelected!$K38-0.5))</f>
        <v>0</v>
      </c>
      <c r="T50" s="52"/>
      <c r="U50" s="65" t="str">
        <f ca="1">IFERROR(IF(TDSelected!M38=0,"",TDSelected!M38)/2,"")</f>
        <v/>
      </c>
      <c r="V50" s="156">
        <f ca="1">TDSelected!O13+$F$5</f>
        <v>-76</v>
      </c>
      <c r="W50" s="362">
        <f ca="1">TDSelected!N38+$E$5</f>
        <v>3.5</v>
      </c>
      <c r="X50" s="86">
        <f t="shared" ref="X50:X60" ca="1" si="7">MIN(C$2,W50)</f>
        <v>3.5</v>
      </c>
      <c r="Y50" s="631">
        <f ca="1">(10^((-V50+X50+$D$5-$G$5)/20))/IF(TDSelected!$H$4=2,Calc!$J$4,Calc!$J$3)</f>
        <v>61.608028388945961</v>
      </c>
      <c r="Z50" s="496" t="b">
        <f ca="1">((W50-X50)&gt;(TDSelected!$K38-0.5))</f>
        <v>0</v>
      </c>
    </row>
    <row r="51" spans="2:26" x14ac:dyDescent="0.2">
      <c r="B51" s="52"/>
      <c r="C51" s="65">
        <f ca="1">IF(TDSelected!G39=0,"",TDSelected!G39)</f>
        <v>90</v>
      </c>
      <c r="D51" s="156">
        <f ca="1">TDSelected!I14+$F$5</f>
        <v>-77</v>
      </c>
      <c r="E51" s="362">
        <f ca="1">TDSelected!H39+Calc!$D$5</f>
        <v>24.5</v>
      </c>
      <c r="F51" s="86">
        <f t="shared" ca="1" si="5"/>
        <v>24.5</v>
      </c>
      <c r="G51" s="86">
        <f>IF(ISNUMBER(UserInterface!$I$35)=TRUE,UserInterface!$I$35,0)</f>
        <v>0</v>
      </c>
      <c r="H51" s="631">
        <f ca="1">(10^((-D51+F51-G51+$D$5-$G$5)/20))/IF(TDSelected!$H$4=2,Calc!$J$4,Calc!$J$3)</f>
        <v>775.59912509380547</v>
      </c>
      <c r="I51" s="496" t="b">
        <f ca="1">((E51-F51)&gt;(TDSelected!$H39-0.5))</f>
        <v>0</v>
      </c>
      <c r="J51" s="24"/>
      <c r="K51" s="52"/>
      <c r="L51" s="65">
        <f ca="1">IF(TDSelected!J39=0,"",TDSelected!J39)</f>
        <v>195</v>
      </c>
      <c r="M51" s="156">
        <f ca="1">TDSelected!L14+$F$5</f>
        <v>-77</v>
      </c>
      <c r="N51" s="362">
        <f ca="1">TDSelected!K39+$D$5</f>
        <v>23.5</v>
      </c>
      <c r="O51" s="86">
        <f t="shared" ca="1" si="6"/>
        <v>23.5</v>
      </c>
      <c r="P51" s="86">
        <f>IF(ISNUMBER(UserInterface!$I$35)=TRUE,UserInterface!$I$35,0)</f>
        <v>0</v>
      </c>
      <c r="Q51" s="631">
        <f ca="1">(10^((-M51+O51-P51+$D$5-$G$5)/20))/IF(TDSelected!$H$4=2,Calc!$J$4,Calc!$J$3)</f>
        <v>691.25344785556547</v>
      </c>
      <c r="R51" s="496" t="b">
        <f ca="1">((N51-O51)&gt;(TDSelected!$K39-0.5))</f>
        <v>0</v>
      </c>
      <c r="T51" s="52"/>
      <c r="U51" s="65">
        <f ca="1">IFERROR(IF(TDSelected!M39=0,"",TDSelected!M39)/2,"")</f>
        <v>195</v>
      </c>
      <c r="V51" s="156">
        <f ca="1">TDSelected!O14+$F$5</f>
        <v>-74</v>
      </c>
      <c r="W51" s="362">
        <f ca="1">TDSelected!N39+$E$5</f>
        <v>3.5</v>
      </c>
      <c r="X51" s="86">
        <f t="shared" ca="1" si="7"/>
        <v>3.5</v>
      </c>
      <c r="Y51" s="631">
        <f ca="1">(10^((-V51+X51+$D$5-$G$5)/20))/IF(TDSelected!$H$4=2,Calc!$J$4,Calc!$J$3)</f>
        <v>48.936996435034871</v>
      </c>
      <c r="Z51" s="496" t="b">
        <f ca="1">((W51-X51)&gt;(TDSelected!$K39-0.5))</f>
        <v>0</v>
      </c>
    </row>
    <row r="52" spans="2:26" x14ac:dyDescent="0.2">
      <c r="B52" s="52"/>
      <c r="C52" s="65">
        <f ca="1">IF(TDSelected!G40=0,"",TDSelected!G40)</f>
        <v>135</v>
      </c>
      <c r="D52" s="156">
        <f ca="1">TDSelected!I15+$F$5</f>
        <v>-72</v>
      </c>
      <c r="E52" s="362">
        <f ca="1">TDSelected!H40+Calc!$D$5</f>
        <v>24.5</v>
      </c>
      <c r="F52" s="86">
        <f t="shared" ca="1" si="5"/>
        <v>24.5</v>
      </c>
      <c r="G52" s="86">
        <f>IF(ISNUMBER(UserInterface!$I$35)=TRUE,UserInterface!$I$35,0)</f>
        <v>0</v>
      </c>
      <c r="H52" s="631">
        <f ca="1">(10^((-D52+F52-G52+$D$5-$G$5)/20))/IF(TDSelected!$H$4=2,Calc!$J$4,Calc!$J$3)</f>
        <v>436.15143982172577</v>
      </c>
      <c r="I52" s="496" t="b">
        <f ca="1">((E52-F52)&gt;(TDSelected!$H40-0.5))</f>
        <v>0</v>
      </c>
      <c r="J52" s="24"/>
      <c r="K52" s="52"/>
      <c r="L52" s="65">
        <f ca="1">IF(TDSelected!J40=0,"",TDSelected!J40)</f>
        <v>292.5</v>
      </c>
      <c r="M52" s="156">
        <f ca="1">TDSelected!L15+$F$5</f>
        <v>-75</v>
      </c>
      <c r="N52" s="362">
        <f ca="1">TDSelected!K40+$D$5</f>
        <v>23.5</v>
      </c>
      <c r="O52" s="86">
        <f t="shared" ca="1" si="6"/>
        <v>23.5</v>
      </c>
      <c r="P52" s="86">
        <f>IF(ISNUMBER(UserInterface!$I$35)=TRUE,UserInterface!$I$35,0)</f>
        <v>0</v>
      </c>
      <c r="Q52" s="631">
        <f ca="1">(10^((-M52+O52-P52+$D$5-$G$5)/20))/IF(TDSelected!$H$4=2,Calc!$J$4,Calc!$J$3)</f>
        <v>549.08213098218505</v>
      </c>
      <c r="R52" s="496" t="b">
        <f ca="1">((N52-O52)&gt;(TDSelected!$K40-0.5))</f>
        <v>0</v>
      </c>
      <c r="T52" s="52"/>
      <c r="U52" s="65">
        <f ca="1">IFERROR(IF(TDSelected!M40=0,"",TDSelected!M40)/2,"")</f>
        <v>292.5</v>
      </c>
      <c r="V52" s="156">
        <f ca="1">TDSelected!O15+$F$5</f>
        <v>-73</v>
      </c>
      <c r="W52" s="362">
        <f ca="1">TDSelected!N40+$E$5</f>
        <v>3.5</v>
      </c>
      <c r="X52" s="86">
        <f t="shared" ca="1" si="7"/>
        <v>3.5</v>
      </c>
      <c r="Y52" s="631">
        <f ca="1">(10^((-V52+X52+$D$5-$G$5)/20))/IF(TDSelected!$H$4=2,Calc!$J$4,Calc!$J$3)</f>
        <v>43.615143982172569</v>
      </c>
      <c r="Z52" s="496" t="b">
        <f ca="1">((W52-X52)&gt;(TDSelected!$K40-0.5))</f>
        <v>0</v>
      </c>
    </row>
    <row r="53" spans="2:26" x14ac:dyDescent="0.2">
      <c r="B53" s="52"/>
      <c r="C53" s="65">
        <f ca="1">IF(TDSelected!G41=0,"",TDSelected!G41)</f>
        <v>180</v>
      </c>
      <c r="D53" s="156">
        <f ca="1">TDSelected!I16+$F$5</f>
        <v>-68</v>
      </c>
      <c r="E53" s="362">
        <f ca="1">TDSelected!H41+Calc!$D$5</f>
        <v>23.5</v>
      </c>
      <c r="F53" s="86">
        <f t="shared" ca="1" si="5"/>
        <v>23.5</v>
      </c>
      <c r="G53" s="86">
        <f>IF(ISNUMBER(UserInterface!$I$35)=TRUE,UserInterface!$I$35,0)</f>
        <v>0</v>
      </c>
      <c r="H53" s="631">
        <f ca="1">(10^((-D53+F53-G53+$D$5-$G$5)/20))/IF(TDSelected!$H$4=2,Calc!$J$4,Calc!$J$3)</f>
        <v>245.26597865302801</v>
      </c>
      <c r="I53" s="496" t="b">
        <f ca="1">((E53-F53)&gt;(TDSelected!$H41-0.5))</f>
        <v>0</v>
      </c>
      <c r="J53" s="24"/>
      <c r="K53" s="52"/>
      <c r="L53" s="65">
        <f ca="1">IF(TDSelected!J41=0,"",TDSelected!J41)</f>
        <v>390</v>
      </c>
      <c r="M53" s="156">
        <f ca="1">TDSelected!L16+$F$5</f>
        <v>-71</v>
      </c>
      <c r="N53" s="362">
        <f ca="1">TDSelected!K41+$D$5</f>
        <v>23.5</v>
      </c>
      <c r="O53" s="86">
        <f t="shared" ca="1" si="6"/>
        <v>23.5</v>
      </c>
      <c r="P53" s="86">
        <f>IF(ISNUMBER(UserInterface!$I$35)=TRUE,UserInterface!$I$35,0)</f>
        <v>0</v>
      </c>
      <c r="Q53" s="631">
        <f ca="1">(10^((-M53+O53-P53+$D$5-$G$5)/20))/IF(TDSelected!$H$4=2,Calc!$J$4,Calc!$J$3)</f>
        <v>346.44740326604517</v>
      </c>
      <c r="R53" s="496" t="b">
        <f ca="1">((N53-O53)&gt;(TDSelected!$K41-0.5))</f>
        <v>0</v>
      </c>
      <c r="T53" s="52"/>
      <c r="U53" s="65">
        <f ca="1">IFERROR(IF(TDSelected!M41=0,"",TDSelected!M41)/2,"")</f>
        <v>390</v>
      </c>
      <c r="V53" s="156">
        <f ca="1">TDSelected!O16+$F$5</f>
        <v>-69</v>
      </c>
      <c r="W53" s="362">
        <f ca="1">TDSelected!N41+$E$5</f>
        <v>3.5</v>
      </c>
      <c r="X53" s="86">
        <f t="shared" ca="1" si="7"/>
        <v>3.5</v>
      </c>
      <c r="Y53" s="631">
        <f ca="1">(10^((-V53+X53+$D$5-$G$5)/20))/IF(TDSelected!$H$4=2,Calc!$J$4,Calc!$J$3)</f>
        <v>27.51929542611289</v>
      </c>
      <c r="Z53" s="496" t="b">
        <f ca="1">((W53-X53)&gt;(TDSelected!$K41-0.5))</f>
        <v>0</v>
      </c>
    </row>
    <row r="54" spans="2:26" x14ac:dyDescent="0.2">
      <c r="B54" s="52"/>
      <c r="C54" s="65">
        <f ca="1">IF(TDSelected!G42=0,"",TDSelected!G42)</f>
        <v>270</v>
      </c>
      <c r="D54" s="156">
        <f ca="1">TDSelected!I17+$F$5</f>
        <v>-67</v>
      </c>
      <c r="E54" s="362">
        <f ca="1">TDSelected!H42+Calc!$D$5</f>
        <v>22.5</v>
      </c>
      <c r="F54" s="86">
        <f t="shared" ca="1" si="5"/>
        <v>22.5</v>
      </c>
      <c r="G54" s="86">
        <f>IF(ISNUMBER(UserInterface!$I$35)=TRUE,UserInterface!$I$35,0)</f>
        <v>0</v>
      </c>
      <c r="H54" s="631">
        <f ca="1">(10^((-D54+F54-G54+$D$5-$G$5)/20))/IF(TDSelected!$H$4=2,Calc!$J$4,Calc!$J$3)</f>
        <v>194.82169186138324</v>
      </c>
      <c r="I54" s="496" t="b">
        <f ca="1">((E54-F54)&gt;(TDSelected!$H42-0.5))</f>
        <v>0</v>
      </c>
      <c r="J54" s="24"/>
      <c r="K54" s="52"/>
      <c r="L54" s="65">
        <f ca="1">IF(TDSelected!J42=0,"",TDSelected!J42)</f>
        <v>585</v>
      </c>
      <c r="M54" s="156">
        <f ca="1">TDSelected!L17+$F$5</f>
        <v>-69</v>
      </c>
      <c r="N54" s="362">
        <f ca="1">TDSelected!K42+$D$5</f>
        <v>22.5</v>
      </c>
      <c r="O54" s="86">
        <f t="shared" ca="1" si="6"/>
        <v>22.5</v>
      </c>
      <c r="P54" s="86">
        <f>IF(ISNUMBER(UserInterface!$I$35)=TRUE,UserInterface!$I$35,0)</f>
        <v>0</v>
      </c>
      <c r="Q54" s="631">
        <f ca="1">(10^((-M54+O54-P54+$D$5-$G$5)/20))/IF(TDSelected!$H$4=2,Calc!$J$4,Calc!$J$3)</f>
        <v>245.26597865302801</v>
      </c>
      <c r="R54" s="496" t="b">
        <f ca="1">((N54-O54)&gt;(TDSelected!$K42-0.5))</f>
        <v>0</v>
      </c>
      <c r="T54" s="52"/>
      <c r="U54" s="65">
        <f ca="1">IFERROR(IF(TDSelected!M42=0,"",TDSelected!M42)/2,"")</f>
        <v>585</v>
      </c>
      <c r="V54" s="156">
        <f ca="1">TDSelected!O17+$F$5</f>
        <v>-67</v>
      </c>
      <c r="W54" s="362">
        <f ca="1">TDSelected!N42+$E$5</f>
        <v>3.5</v>
      </c>
      <c r="X54" s="86">
        <f t="shared" ca="1" si="7"/>
        <v>3.5</v>
      </c>
      <c r="Y54" s="631">
        <f ca="1">(10^((-V54+X54+$D$5-$G$5)/20))/IF(TDSelected!$H$4=2,Calc!$J$4,Calc!$J$3)</f>
        <v>21.859353356680245</v>
      </c>
      <c r="Z54" s="496" t="b">
        <f ca="1">((W54-X54)&gt;(TDSelected!$K42-0.5))</f>
        <v>0</v>
      </c>
    </row>
    <row r="55" spans="2:26" x14ac:dyDescent="0.2">
      <c r="B55" s="52"/>
      <c r="C55" s="65">
        <f ca="1">IF(TDSelected!G43=0,"",TDSelected!G43)</f>
        <v>360</v>
      </c>
      <c r="D55" s="156">
        <f ca="1">TDSelected!I18+$F$5</f>
        <v>-66</v>
      </c>
      <c r="E55" s="362">
        <f ca="1">TDSelected!H43+Calc!$D$5</f>
        <v>21.5</v>
      </c>
      <c r="F55" s="86">
        <f t="shared" ca="1" si="5"/>
        <v>21.5</v>
      </c>
      <c r="G55" s="86">
        <f>IF(ISNUMBER(UserInterface!$I$35)=TRUE,UserInterface!$I$35,0)</f>
        <v>0</v>
      </c>
      <c r="H55" s="631">
        <f ca="1">(10^((-D55+F55-G55+$D$5-$G$5)/20))/IF(TDSelected!$H$4=2,Calc!$J$4,Calc!$J$3)</f>
        <v>154.75237058225048</v>
      </c>
      <c r="I55" s="496" t="b">
        <f ca="1">((E55-F55)&gt;(TDSelected!$H43-0.5))</f>
        <v>0</v>
      </c>
      <c r="J55" s="24"/>
      <c r="K55" s="52"/>
      <c r="L55" s="65">
        <f ca="1">IF(TDSelected!J43=0,"",TDSelected!J43)</f>
        <v>780</v>
      </c>
      <c r="M55" s="156">
        <f ca="1">TDSelected!L18+$F$5</f>
        <v>-65</v>
      </c>
      <c r="N55" s="362">
        <f ca="1">TDSelected!K43+$D$5</f>
        <v>21.5</v>
      </c>
      <c r="O55" s="86">
        <f t="shared" ca="1" si="6"/>
        <v>21.5</v>
      </c>
      <c r="P55" s="86">
        <f>IF(ISNUMBER(UserInterface!$I$35)=TRUE,UserInterface!$I$35,0)</f>
        <v>0</v>
      </c>
      <c r="Q55" s="631">
        <f ca="1">(10^((-M55+O55-P55+$D$5-$G$5)/20))/IF(TDSelected!$H$4=2,Calc!$J$4,Calc!$J$3)</f>
        <v>137.9231954598516</v>
      </c>
      <c r="R55" s="496" t="b">
        <f ca="1">((N55-O55)&gt;(TDSelected!$K43-0.5))</f>
        <v>0</v>
      </c>
      <c r="T55" s="52"/>
      <c r="U55" s="65">
        <f ca="1">IFERROR(IF(TDSelected!M43=0,"",TDSelected!M43)/2,"")</f>
        <v>780</v>
      </c>
      <c r="V55" s="156">
        <f ca="1">TDSelected!O18+$F$5</f>
        <v>-62</v>
      </c>
      <c r="W55" s="362">
        <f ca="1">TDSelected!N43+$E$5</f>
        <v>3.5</v>
      </c>
      <c r="X55" s="86">
        <f t="shared" ca="1" si="7"/>
        <v>3.5</v>
      </c>
      <c r="Y55" s="631">
        <f ca="1">(10^((-V55+X55+$D$5-$G$5)/20))/IF(TDSelected!$H$4=2,Calc!$J$4,Calc!$J$3)</f>
        <v>12.29241773439967</v>
      </c>
      <c r="Z55" s="496" t="b">
        <f ca="1">((W55-X55)&gt;(TDSelected!$K43-0.5))</f>
        <v>0</v>
      </c>
    </row>
    <row r="56" spans="2:26" x14ac:dyDescent="0.2">
      <c r="B56" s="52"/>
      <c r="C56" s="65">
        <f ca="1">IF(TDSelected!G44=0,"",TDSelected!G44)</f>
        <v>405</v>
      </c>
      <c r="D56" s="156">
        <f ca="1">TDSelected!I19+$F$5</f>
        <v>-65</v>
      </c>
      <c r="E56" s="362">
        <f ca="1">TDSelected!H44+Calc!$D$5</f>
        <v>21.5</v>
      </c>
      <c r="F56" s="86">
        <f t="shared" ca="1" si="5"/>
        <v>21.5</v>
      </c>
      <c r="G56" s="86">
        <f>IF(ISNUMBER(UserInterface!$I$35)=TRUE,UserInterface!$I$35,0)</f>
        <v>0</v>
      </c>
      <c r="H56" s="631">
        <f ca="1">(10^((-D56+F56-G56+$D$5-$G$5)/20))/IF(TDSelected!$H$4=2,Calc!$J$4,Calc!$J$3)</f>
        <v>137.9231954598516</v>
      </c>
      <c r="I56" s="496" t="b">
        <f ca="1">((E56-F56)&gt;(TDSelected!$H44-0.5))</f>
        <v>0</v>
      </c>
      <c r="J56" s="24"/>
      <c r="K56" s="52"/>
      <c r="L56" s="65">
        <f ca="1">IF(TDSelected!J44=0,"",TDSelected!J44)</f>
        <v>877.5</v>
      </c>
      <c r="M56" s="156">
        <f ca="1">TDSelected!L19+$F$5</f>
        <v>-63</v>
      </c>
      <c r="N56" s="362">
        <f ca="1">TDSelected!K44+$D$5</f>
        <v>21.5</v>
      </c>
      <c r="O56" s="86">
        <f t="shared" ca="1" si="6"/>
        <v>21.5</v>
      </c>
      <c r="P56" s="86">
        <f>IF(ISNUMBER(UserInterface!$I$35)=TRUE,UserInterface!$I$35,0)</f>
        <v>0</v>
      </c>
      <c r="Q56" s="631">
        <f ca="1">(10^((-M56+O56-P56+$D$5-$G$5)/20))/IF(TDSelected!$H$4=2,Calc!$J$4,Calc!$J$3)</f>
        <v>109.55628837715606</v>
      </c>
      <c r="R56" s="496" t="b">
        <f ca="1">((N56-O56)&gt;(TDSelected!$K44-0.5))</f>
        <v>0</v>
      </c>
      <c r="T56" s="52"/>
      <c r="U56" s="65">
        <f ca="1">IFERROR(IF(TDSelected!M44=0,"",TDSelected!M44)/2,"")</f>
        <v>877.5</v>
      </c>
      <c r="V56" s="156">
        <f ca="1">TDSelected!O19+$F$5</f>
        <v>-61</v>
      </c>
      <c r="W56" s="362">
        <f ca="1">TDSelected!N44+$E$5</f>
        <v>3.5</v>
      </c>
      <c r="X56" s="86">
        <f t="shared" ca="1" si="7"/>
        <v>3.5</v>
      </c>
      <c r="Y56" s="631">
        <f ca="1">(10^((-V56+X56+$D$5-$G$5)/20))/IF(TDSelected!$H$4=2,Calc!$J$4,Calc!$J$3)</f>
        <v>10.955628837715604</v>
      </c>
      <c r="Z56" s="496" t="b">
        <f ca="1">((W56-X56)&gt;(TDSelected!$K44-0.5))</f>
        <v>0</v>
      </c>
    </row>
    <row r="57" spans="2:26" x14ac:dyDescent="0.2">
      <c r="B57" s="52"/>
      <c r="C57" s="65">
        <f ca="1">IF(TDSelected!G45=0,"",TDSelected!G45)</f>
        <v>450</v>
      </c>
      <c r="D57" s="156">
        <f ca="1">TDSelected!I20+$F$5</f>
        <v>-61</v>
      </c>
      <c r="E57" s="362">
        <f ca="1">TDSelected!H45+Calc!$D$5</f>
        <v>20.5</v>
      </c>
      <c r="F57" s="86">
        <f t="shared" ca="1" si="5"/>
        <v>20.5</v>
      </c>
      <c r="G57" s="86">
        <f>IF(ISNUMBER(UserInterface!$I$35)=TRUE,UserInterface!$I$35,0)</f>
        <v>0</v>
      </c>
      <c r="H57" s="631">
        <f ca="1">(10^((-D57+F57-G57+$D$5-$G$5)/20))/IF(TDSelected!$H$4=2,Calc!$J$4,Calc!$J$3)</f>
        <v>77.559912509380538</v>
      </c>
      <c r="I57" s="496" t="b">
        <f ca="1">((E57-F57)&gt;(TDSelected!$H45-0.5))</f>
        <v>0</v>
      </c>
      <c r="J57" s="24"/>
      <c r="K57" s="52"/>
      <c r="L57" s="65">
        <f ca="1">IF(TDSelected!J45=0,"",TDSelected!J45)</f>
        <v>975</v>
      </c>
      <c r="M57" s="156">
        <f ca="1">TDSelected!L20+$F$5</f>
        <v>-62</v>
      </c>
      <c r="N57" s="362">
        <f ca="1">TDSelected!K45+$D$5</f>
        <v>20.5</v>
      </c>
      <c r="O57" s="86">
        <f t="shared" ca="1" si="6"/>
        <v>20.5</v>
      </c>
      <c r="P57" s="86">
        <f>IF(ISNUMBER(UserInterface!$I$35)=TRUE,UserInterface!$I$35,0)</f>
        <v>0</v>
      </c>
      <c r="Q57" s="631">
        <f ca="1">(10^((-M57+O57-P57+$D$5-$G$5)/20))/IF(TDSelected!$H$4=2,Calc!$J$4,Calc!$J$3)</f>
        <v>87.023653149570706</v>
      </c>
      <c r="R57" s="496" t="b">
        <f ca="1">((N57-O57)&gt;(TDSelected!$K45-0.5))</f>
        <v>0</v>
      </c>
      <c r="T57" s="52"/>
      <c r="U57" s="65">
        <f ca="1">IFERROR(IF(TDSelected!M45=0,"",TDSelected!M45)/2,"")</f>
        <v>975</v>
      </c>
      <c r="V57" s="156">
        <f ca="1">TDSelected!O20+$F$5</f>
        <v>-59</v>
      </c>
      <c r="W57" s="362">
        <f ca="1">TDSelected!N45+$E$5</f>
        <v>3.5</v>
      </c>
      <c r="X57" s="86">
        <f t="shared" ca="1" si="7"/>
        <v>3.5</v>
      </c>
      <c r="Y57" s="631">
        <f ca="1">(10^((-V57+X57+$D$5-$G$5)/20))/IF(TDSelected!$H$4=2,Calc!$J$4,Calc!$J$3)</f>
        <v>8.7023653149570688</v>
      </c>
      <c r="Z57" s="496" t="b">
        <f ca="1">((W57-X57)&gt;(TDSelected!$K45-0.5))</f>
        <v>0</v>
      </c>
    </row>
    <row r="58" spans="2:26" x14ac:dyDescent="0.2">
      <c r="B58" s="52"/>
      <c r="C58" s="65">
        <f ca="1">IF(TDSelected!G46=0,"",TDSelected!G46)</f>
        <v>540</v>
      </c>
      <c r="D58" s="156">
        <f ca="1">TDSelected!I21+$F$5</f>
        <v>10</v>
      </c>
      <c r="E58" s="362">
        <f ca="1">TDSelected!H46+Calc!$D$5</f>
        <v>19.5</v>
      </c>
      <c r="F58" s="86">
        <f t="shared" ca="1" si="5"/>
        <v>19.5</v>
      </c>
      <c r="G58" s="86">
        <f>IF(ISNUMBER(UserInterface!$I$35)=TRUE,UserInterface!$I$35,0)</f>
        <v>0</v>
      </c>
      <c r="H58" s="631">
        <f ca="1">(10^((-D58+F58-G58+$D$5-$G$5)/20))/IF(TDSelected!$H$4=2,Calc!$J$4,Calc!$J$3)</f>
        <v>1.9482169186138296E-2</v>
      </c>
      <c r="I58" s="496" t="b">
        <f ca="1">IF(C58="","",((E58-F58)&gt;(TDSelected!$H46-0.5)))</f>
        <v>0</v>
      </c>
      <c r="J58" s="24"/>
      <c r="K58" s="52"/>
      <c r="L58" s="65">
        <f ca="1">IF(TDSelected!J46=0,"",TDSelected!J46)</f>
        <v>1170</v>
      </c>
      <c r="M58" s="156">
        <f ca="1">TDSelected!L21+$F$5</f>
        <v>-58</v>
      </c>
      <c r="N58" s="362">
        <f ca="1">TDSelected!K46+$D$5</f>
        <v>19.5</v>
      </c>
      <c r="O58" s="86">
        <f t="shared" ca="1" si="6"/>
        <v>19.5</v>
      </c>
      <c r="P58" s="86">
        <f>IF(ISNUMBER(UserInterface!$I$35)=TRUE,UserInterface!$I$35,0)</f>
        <v>0</v>
      </c>
      <c r="Q58" s="631">
        <f ca="1">(10^((-M58+O58-P58+$D$5-$G$5)/20))/IF(TDSelected!$H$4=2,Calc!$J$4,Calc!$J$3)</f>
        <v>48.936996435034871</v>
      </c>
      <c r="R58" s="496" t="b">
        <f ca="1">IF(L58="","",((N58-O58)&gt;(TDSelected!$K46-0.5)))</f>
        <v>0</v>
      </c>
      <c r="T58" s="52"/>
      <c r="U58" s="65">
        <f ca="1">IFERROR(IF(TDSelected!M46=0,"",TDSelected!M46)/2,"")</f>
        <v>1170</v>
      </c>
      <c r="V58" s="156">
        <f ca="1">TDSelected!O21+$F$5</f>
        <v>-55</v>
      </c>
      <c r="W58" s="362">
        <f ca="1">TDSelected!N46+$E$5</f>
        <v>3.5</v>
      </c>
      <c r="X58" s="86">
        <f t="shared" ca="1" si="7"/>
        <v>3.5</v>
      </c>
      <c r="Y58" s="631">
        <f ca="1">(10^((-V58+X58+$D$5-$G$5)/20))/IF(TDSelected!$H$4=2,Calc!$J$4,Calc!$J$3)</f>
        <v>5.4908213098218477</v>
      </c>
      <c r="Z58" s="496" t="b">
        <f ca="1">IF(U58="","",((W58-X58)&gt;(TDSelected!$K46-0.5)))</f>
        <v>0</v>
      </c>
    </row>
    <row r="59" spans="2:26" x14ac:dyDescent="0.2">
      <c r="B59" s="52"/>
      <c r="C59" s="65">
        <f ca="1">IF(TDSelected!G47=0,"",TDSelected!G47)</f>
        <v>600</v>
      </c>
      <c r="D59" s="156">
        <f ca="1">TDSelected!I22+$F$5</f>
        <v>10</v>
      </c>
      <c r="E59" s="362">
        <f ca="1">TDSelected!H47+Calc!$D$5</f>
        <v>18.5</v>
      </c>
      <c r="F59" s="86">
        <f t="shared" ca="1" si="5"/>
        <v>18.5</v>
      </c>
      <c r="G59" s="86">
        <f>IF(ISNUMBER(UserInterface!$I$35)=TRUE,UserInterface!$I$35,0)</f>
        <v>0</v>
      </c>
      <c r="H59" s="631">
        <f ca="1">(10^((-D59+F59-G59+$D$5-$G$5)/20))/IF(TDSelected!$H$4=2,Calc!$J$4,Calc!$J$3)</f>
        <v>1.7363501564026104E-2</v>
      </c>
      <c r="I59" s="496" t="b">
        <f ca="1">IF(C59="","",((E59-F59)&gt;(TDSelected!$H47-0.5)))</f>
        <v>0</v>
      </c>
      <c r="J59" s="24"/>
      <c r="K59" s="52"/>
      <c r="L59" s="65">
        <f ca="1">IF(TDSelected!J47=0,"",TDSelected!J47)</f>
        <v>1299.9000000000001</v>
      </c>
      <c r="M59" s="156">
        <f ca="1">TDSelected!L22+$F$5</f>
        <v>-57</v>
      </c>
      <c r="N59" s="362">
        <f ca="1">TDSelected!K47+$D$5</f>
        <v>18.5</v>
      </c>
      <c r="O59" s="86">
        <f t="shared" ca="1" si="6"/>
        <v>18.5</v>
      </c>
      <c r="P59" s="86">
        <f>IF(ISNUMBER(UserInterface!$I$35)=TRUE,UserInterface!$I$35,0)</f>
        <v>0</v>
      </c>
      <c r="Q59" s="631">
        <f ca="1">(10^((-M59+O59-P59+$D$5-$G$5)/20))/IF(TDSelected!$H$4=2,Calc!$J$4,Calc!$J$3)</f>
        <v>38.872037990949707</v>
      </c>
      <c r="R59" s="496" t="b">
        <f ca="1">IF(L59="","",((N59-O59)&gt;(TDSelected!$K47-0.5)))</f>
        <v>0</v>
      </c>
      <c r="T59" s="52"/>
      <c r="U59" s="65">
        <f ca="1">IFERROR(IF(TDSelected!M47=0,"",TDSelected!M47)/2,"")</f>
        <v>1300.0500000000002</v>
      </c>
      <c r="V59" s="156">
        <f ca="1">TDSelected!O22+$F$5</f>
        <v>-54</v>
      </c>
      <c r="W59" s="362">
        <f ca="1">TDSelected!N47+$E$5</f>
        <v>3.5</v>
      </c>
      <c r="X59" s="86">
        <f t="shared" ca="1" si="7"/>
        <v>3.5</v>
      </c>
      <c r="Y59" s="631">
        <f ca="1">(10^((-V59+X59+$D$5-$G$5)/20))/IF(TDSelected!$H$4=2,Calc!$J$4,Calc!$J$3)</f>
        <v>4.8936996435034859</v>
      </c>
      <c r="Z59" s="496" t="b">
        <f ca="1">IF(U59="","",((W59-X59)&gt;(TDSelected!$K47-0.5)))</f>
        <v>0</v>
      </c>
    </row>
    <row r="60" spans="2:26" ht="10.5" thickBot="1" x14ac:dyDescent="0.25">
      <c r="B60" s="54"/>
      <c r="C60" s="498" t="str">
        <f ca="1">IF(TDSelected!G48=0,"",TDSelected!G48)</f>
        <v/>
      </c>
      <c r="D60" s="499">
        <f ca="1">TDSelected!I23+$F$5</f>
        <v>10</v>
      </c>
      <c r="E60" s="500">
        <f ca="1">TDSelected!H48+Calc!$D$5</f>
        <v>3.5</v>
      </c>
      <c r="F60" s="501">
        <f t="shared" ca="1" si="5"/>
        <v>3.5</v>
      </c>
      <c r="G60" s="501"/>
      <c r="H60" s="502" t="str">
        <f ca="1">IF(C60="","",(10^((D60-F60-$E$5-$G$5)/-20)))</f>
        <v/>
      </c>
      <c r="I60" s="503" t="str">
        <f ca="1">IF(C60="","",((E60-F60)&gt;(TDSelected!$H48-0.5)))</f>
        <v/>
      </c>
      <c r="J60" s="24"/>
      <c r="K60" s="54"/>
      <c r="L60" s="498" t="str">
        <f ca="1">IF(TDSelected!J48=0,"",TDSelected!J48)</f>
        <v/>
      </c>
      <c r="M60" s="499">
        <f ca="1">TDSelected!L23+$F$5</f>
        <v>10</v>
      </c>
      <c r="N60" s="501">
        <f ca="1">TDSelected!K48+$D$5</f>
        <v>3.5</v>
      </c>
      <c r="O60" s="501">
        <f t="shared" ca="1" si="6"/>
        <v>3.5</v>
      </c>
      <c r="P60" s="501"/>
      <c r="Q60" s="502" t="str">
        <f ca="1">IF(L60="","",(10^((M60-O60-$D$5-$G$5)/-20)))</f>
        <v/>
      </c>
      <c r="R60" s="503" t="str">
        <f ca="1">IF(L60="","",((N60-O60)&gt;(TDSelected!$K48-0.5)))</f>
        <v/>
      </c>
      <c r="T60" s="54"/>
      <c r="U60" s="633" t="str">
        <f ca="1">IF(TDSelected!M48=0,"",TDSelected!M48)</f>
        <v/>
      </c>
      <c r="V60" s="499">
        <f ca="1">TDSelected!O23+$F$5</f>
        <v>10</v>
      </c>
      <c r="W60" s="500">
        <f ca="1">TDSelected!N48+$E$5</f>
        <v>3.5</v>
      </c>
      <c r="X60" s="501">
        <f t="shared" ca="1" si="7"/>
        <v>3.5</v>
      </c>
      <c r="Y60" s="502" t="str">
        <f ca="1">IF(U60="","",(10^((V60-X60-$D$5-$G$5)/-20)))</f>
        <v/>
      </c>
      <c r="Z60" s="503" t="str">
        <f ca="1">IF(U60="","",((W60-X60)&gt;(TDSelected!$K48-0.5)))</f>
        <v/>
      </c>
    </row>
    <row r="65" spans="2:12" ht="10.5" x14ac:dyDescent="0.25">
      <c r="B65" s="18" t="s">
        <v>60</v>
      </c>
      <c r="C65" s="43" t="s">
        <v>2</v>
      </c>
      <c r="D65" s="18" t="s">
        <v>47</v>
      </c>
      <c r="E65" s="18" t="s">
        <v>53</v>
      </c>
      <c r="G65" s="18" t="s">
        <v>68</v>
      </c>
      <c r="H65" s="18" t="s">
        <v>2</v>
      </c>
      <c r="I65" s="887" t="s">
        <v>402</v>
      </c>
      <c r="J65" s="887"/>
      <c r="K65" s="18" t="s">
        <v>97</v>
      </c>
    </row>
    <row r="66" spans="2:12" ht="10.5" x14ac:dyDescent="0.25">
      <c r="B66" s="364" t="s">
        <v>370</v>
      </c>
      <c r="C66" s="61">
        <f ca="1">C8</f>
        <v>21.6</v>
      </c>
      <c r="D66" s="62" t="b">
        <f ca="1">NOT(E8=F8)</f>
        <v>0</v>
      </c>
      <c r="E66" s="63" t="b">
        <f ca="1">NOT(E22=F22)</f>
        <v>0</v>
      </c>
      <c r="G66" s="18" t="s">
        <v>370</v>
      </c>
      <c r="H66" s="85">
        <f ca="1">C66</f>
        <v>21.6</v>
      </c>
      <c r="I66" s="61"/>
      <c r="J66" s="368">
        <f ca="1">MIN(H8,H22,L9)/1000</f>
        <v>0.87023653149570634</v>
      </c>
      <c r="K66" s="111">
        <f t="shared" ref="K66:K73" ca="1" si="8">ROUNDDOWN(H66,0)</f>
        <v>21</v>
      </c>
      <c r="L66" s="754">
        <f ca="1">J66*1000</f>
        <v>870.23653149570634</v>
      </c>
    </row>
    <row r="67" spans="2:12" x14ac:dyDescent="0.2">
      <c r="B67" s="10"/>
      <c r="C67" s="64">
        <f t="shared" ref="C67:C76" ca="1" si="9">C9</f>
        <v>43.2</v>
      </c>
      <c r="D67" s="65" t="b">
        <f t="shared" ref="D67:D73" ca="1" si="10">NOT(E9=F9)</f>
        <v>0</v>
      </c>
      <c r="E67" s="66" t="b">
        <f t="shared" ref="E67:E73" ca="1" si="11">NOT(E23=F23)</f>
        <v>0</v>
      </c>
      <c r="H67" s="86">
        <f ca="1">C67</f>
        <v>43.2</v>
      </c>
      <c r="I67" s="64"/>
      <c r="J67" s="369">
        <f ca="1">MIN(H9,H23,L9)/1000</f>
        <v>0.61608028388945923</v>
      </c>
      <c r="K67" s="112">
        <f t="shared" ca="1" si="8"/>
        <v>43</v>
      </c>
      <c r="L67" s="754">
        <f t="shared" ref="L67:L97" ca="1" si="12">J67*1000</f>
        <v>616.08028388945922</v>
      </c>
    </row>
    <row r="68" spans="2:12" x14ac:dyDescent="0.2">
      <c r="B68" s="10"/>
      <c r="C68" s="64">
        <f t="shared" ca="1" si="9"/>
        <v>65.099999999999994</v>
      </c>
      <c r="D68" s="65" t="b">
        <f t="shared" ca="1" si="10"/>
        <v>0</v>
      </c>
      <c r="E68" s="66" t="b">
        <f t="shared" ca="1" si="11"/>
        <v>0</v>
      </c>
      <c r="H68" s="86">
        <f t="shared" ref="H68:H76" ca="1" si="13">C68</f>
        <v>65.099999999999994</v>
      </c>
      <c r="I68" s="64"/>
      <c r="J68" s="369">
        <f ca="1">MIN(H10,H24,L9)/1000</f>
        <v>0.48936996435034835</v>
      </c>
      <c r="K68" s="112">
        <f t="shared" ca="1" si="8"/>
        <v>65</v>
      </c>
      <c r="L68" s="754">
        <f t="shared" ca="1" si="12"/>
        <v>489.36996435034837</v>
      </c>
    </row>
    <row r="69" spans="2:12" x14ac:dyDescent="0.2">
      <c r="B69" s="10"/>
      <c r="C69" s="64">
        <f t="shared" ca="1" si="9"/>
        <v>86.699999999999989</v>
      </c>
      <c r="D69" s="65" t="b">
        <f t="shared" ca="1" si="10"/>
        <v>0</v>
      </c>
      <c r="E69" s="66" t="b">
        <f t="shared" ca="1" si="11"/>
        <v>0</v>
      </c>
      <c r="H69" s="86">
        <f t="shared" ca="1" si="13"/>
        <v>86.699999999999989</v>
      </c>
      <c r="I69" s="64"/>
      <c r="J69" s="369">
        <f ca="1">MIN(H11,H25,L9)/1000</f>
        <v>0.275192954261129</v>
      </c>
      <c r="K69" s="112">
        <f t="shared" ca="1" si="8"/>
        <v>86</v>
      </c>
      <c r="L69" s="754">
        <f t="shared" ca="1" si="12"/>
        <v>275.19295426112899</v>
      </c>
    </row>
    <row r="70" spans="2:12" x14ac:dyDescent="0.2">
      <c r="B70" s="10"/>
      <c r="C70" s="64">
        <f t="shared" ca="1" si="9"/>
        <v>129.89999999999998</v>
      </c>
      <c r="D70" s="65" t="b">
        <f t="shared" ca="1" si="10"/>
        <v>0</v>
      </c>
      <c r="E70" s="66" t="b">
        <f t="shared" ca="1" si="11"/>
        <v>0</v>
      </c>
      <c r="H70" s="86">
        <f t="shared" ca="1" si="13"/>
        <v>129.89999999999998</v>
      </c>
      <c r="I70" s="64"/>
      <c r="J70" s="369">
        <f ca="1">MIN(H12,H26,L9)/1000</f>
        <v>0.15475237058225047</v>
      </c>
      <c r="K70" s="112">
        <f t="shared" ca="1" si="8"/>
        <v>129</v>
      </c>
      <c r="L70" s="754">
        <f t="shared" ca="1" si="12"/>
        <v>154.75237058225048</v>
      </c>
    </row>
    <row r="71" spans="2:12" x14ac:dyDescent="0.2">
      <c r="B71" s="10"/>
      <c r="C71" s="64">
        <f t="shared" ca="1" si="9"/>
        <v>173.39999999999998</v>
      </c>
      <c r="D71" s="65" t="b">
        <f t="shared" ca="1" si="10"/>
        <v>0</v>
      </c>
      <c r="E71" s="66" t="b">
        <f t="shared" ca="1" si="11"/>
        <v>0</v>
      </c>
      <c r="H71" s="86">
        <f t="shared" ca="1" si="13"/>
        <v>173.39999999999998</v>
      </c>
      <c r="I71" s="64"/>
      <c r="J71" s="369">
        <f ca="1">MIN(H13,H27,L9)/1000</f>
        <v>0.12292417734399674</v>
      </c>
      <c r="K71" s="112">
        <f t="shared" ca="1" si="8"/>
        <v>173</v>
      </c>
      <c r="L71" s="754">
        <f t="shared" ca="1" si="12"/>
        <v>122.92417734399675</v>
      </c>
    </row>
    <row r="72" spans="2:12" x14ac:dyDescent="0.2">
      <c r="B72" s="10"/>
      <c r="C72" s="64">
        <f t="shared" ca="1" si="9"/>
        <v>195</v>
      </c>
      <c r="D72" s="65" t="b">
        <f t="shared" ca="1" si="10"/>
        <v>0</v>
      </c>
      <c r="E72" s="66" t="b">
        <f t="shared" ca="1" si="11"/>
        <v>0</v>
      </c>
      <c r="H72" s="86">
        <f t="shared" ca="1" si="13"/>
        <v>195</v>
      </c>
      <c r="I72" s="64"/>
      <c r="J72" s="369">
        <f ca="1">MIN(H14,H28,L9)/1000</f>
        <v>9.7642144794591462E-2</v>
      </c>
      <c r="K72" s="112">
        <f t="shared" ca="1" si="8"/>
        <v>195</v>
      </c>
      <c r="L72" s="754">
        <f t="shared" ca="1" si="12"/>
        <v>97.642144794591459</v>
      </c>
    </row>
    <row r="73" spans="2:12" x14ac:dyDescent="0.2">
      <c r="B73" s="10"/>
      <c r="C73" s="64">
        <f t="shared" ca="1" si="9"/>
        <v>216.60000000000002</v>
      </c>
      <c r="D73" s="65" t="b">
        <f t="shared" ca="1" si="10"/>
        <v>0</v>
      </c>
      <c r="E73" s="66" t="b">
        <f t="shared" ca="1" si="11"/>
        <v>0</v>
      </c>
      <c r="H73" s="86">
        <f t="shared" ca="1" si="13"/>
        <v>216.60000000000002</v>
      </c>
      <c r="I73" s="64"/>
      <c r="J73" s="369">
        <f ca="1">MIN(H15,H29,L9)/1000</f>
        <v>6.9125344785556667E-2</v>
      </c>
      <c r="K73" s="112">
        <f t="shared" ca="1" si="8"/>
        <v>216</v>
      </c>
      <c r="L73" s="754">
        <f t="shared" ca="1" si="12"/>
        <v>69.125344785556663</v>
      </c>
    </row>
    <row r="74" spans="2:12" x14ac:dyDescent="0.2">
      <c r="B74" s="10"/>
      <c r="C74" s="64" t="str">
        <f t="shared" ca="1" si="9"/>
        <v/>
      </c>
      <c r="D74" s="65" t="str">
        <f ca="1">IF(C74="","",NOT(E16=F16))</f>
        <v/>
      </c>
      <c r="E74" s="66" t="str">
        <f ca="1">IF(C74="","",NOT(E30=F30))</f>
        <v/>
      </c>
      <c r="H74" s="86" t="str">
        <f t="shared" ca="1" si="13"/>
        <v/>
      </c>
      <c r="I74" s="64"/>
      <c r="J74" s="369" t="str">
        <f ca="1">IF(H74="","",MIN(H16,H30,L9)/1000)</f>
        <v/>
      </c>
      <c r="K74" s="112" t="str">
        <f t="shared" ref="K74:K98" ca="1" si="14">IF(ISNUMBER(ROUNDDOWN(H74,0)),ROUNDDOWN(H74,0),"")</f>
        <v/>
      </c>
      <c r="L74" s="754" t="e">
        <f t="shared" ca="1" si="12"/>
        <v>#VALUE!</v>
      </c>
    </row>
    <row r="75" spans="2:12" x14ac:dyDescent="0.2">
      <c r="B75" s="10"/>
      <c r="C75" s="64" t="str">
        <f t="shared" ca="1" si="9"/>
        <v/>
      </c>
      <c r="D75" s="65" t="str">
        <f ca="1">IF(C75="","",NOT(E17=F17))</f>
        <v/>
      </c>
      <c r="E75" s="66" t="str">
        <f ca="1">IF(C75="","",NOT(E31=F31))</f>
        <v/>
      </c>
      <c r="H75" s="86" t="str">
        <f t="shared" ca="1" si="13"/>
        <v/>
      </c>
      <c r="I75" s="64"/>
      <c r="J75" s="369" t="str">
        <f ca="1">IF(H75="","",MIN(H17,H31,L9)/1000)</f>
        <v/>
      </c>
      <c r="K75" s="112" t="str">
        <f t="shared" ca="1" si="14"/>
        <v/>
      </c>
      <c r="L75" s="754" t="e">
        <f t="shared" ca="1" si="12"/>
        <v>#VALUE!</v>
      </c>
    </row>
    <row r="76" spans="2:12" x14ac:dyDescent="0.2">
      <c r="B76" s="10"/>
      <c r="C76" s="67" t="str">
        <f t="shared" ca="1" si="9"/>
        <v/>
      </c>
      <c r="D76" s="68" t="str">
        <f ca="1">IF(C76="","",NOT(E18=F18))</f>
        <v/>
      </c>
      <c r="E76" s="69" t="str">
        <f ca="1">IF(C76="","",NOT(E32=F32))</f>
        <v/>
      </c>
      <c r="H76" s="87" t="str">
        <f t="shared" ca="1" si="13"/>
        <v/>
      </c>
      <c r="I76" s="67"/>
      <c r="J76" s="370" t="str">
        <f ca="1">IF(H76="","",MIN(H18,H32,L9)/1000)</f>
        <v/>
      </c>
      <c r="K76" s="113" t="str">
        <f t="shared" ca="1" si="14"/>
        <v/>
      </c>
      <c r="L76" s="754" t="e">
        <f t="shared" ca="1" si="12"/>
        <v>#VALUE!</v>
      </c>
    </row>
    <row r="77" spans="2:12" ht="10.5" x14ac:dyDescent="0.25">
      <c r="B77" s="364" t="s">
        <v>369</v>
      </c>
      <c r="C77" s="61">
        <f ca="1">C36</f>
        <v>45</v>
      </c>
      <c r="D77" s="62" t="b">
        <f ca="1">NOT(E36=F36)</f>
        <v>0</v>
      </c>
      <c r="E77" s="63" t="b">
        <f ca="1">NOT(E50=F50)</f>
        <v>0</v>
      </c>
      <c r="G77" s="43" t="s">
        <v>369</v>
      </c>
      <c r="H77" s="86">
        <f ca="1">IF(Errorhandling!C40,C77,"")</f>
        <v>45</v>
      </c>
      <c r="I77" s="64"/>
      <c r="J77" s="369">
        <f ca="1">IF(H77="","",IF(Errorhandling!C$40,MIN(H36,H50,M$9)/1000,""))</f>
        <v>0.97642144794591401</v>
      </c>
      <c r="K77" s="112">
        <f t="shared" ca="1" si="14"/>
        <v>45</v>
      </c>
      <c r="L77" s="754">
        <f t="shared" ca="1" si="12"/>
        <v>976.421447945914</v>
      </c>
    </row>
    <row r="78" spans="2:12" x14ac:dyDescent="0.2">
      <c r="B78" s="10"/>
      <c r="C78" s="64">
        <f t="shared" ref="C78:C87" ca="1" si="15">C37</f>
        <v>90</v>
      </c>
      <c r="D78" s="65" t="b">
        <f t="shared" ref="D78:D84" ca="1" si="16">NOT(E37=F37)</f>
        <v>0</v>
      </c>
      <c r="E78" s="66" t="b">
        <f t="shared" ref="E78:E84" ca="1" si="17">NOT(E51=F51)</f>
        <v>0</v>
      </c>
      <c r="G78" s="2"/>
      <c r="H78" s="86">
        <f ca="1">IF(Errorhandling!C40,C78,"")</f>
        <v>90</v>
      </c>
      <c r="I78" s="64"/>
      <c r="J78" s="369">
        <f ca="1">IF(H78="","",IF(Errorhandling!C$40,MIN(H37,H51,M$9)/1000,""))</f>
        <v>0.77559912509380546</v>
      </c>
      <c r="K78" s="112">
        <f t="shared" ca="1" si="14"/>
        <v>90</v>
      </c>
      <c r="L78" s="754">
        <f t="shared" ca="1" si="12"/>
        <v>775.59912509380547</v>
      </c>
    </row>
    <row r="79" spans="2:12" x14ac:dyDescent="0.2">
      <c r="B79" s="10"/>
      <c r="C79" s="64">
        <f t="shared" ca="1" si="15"/>
        <v>135</v>
      </c>
      <c r="D79" s="65" t="b">
        <f t="shared" ca="1" si="16"/>
        <v>0</v>
      </c>
      <c r="E79" s="66" t="b">
        <f t="shared" ca="1" si="17"/>
        <v>0</v>
      </c>
      <c r="G79" s="2"/>
      <c r="H79" s="86">
        <f ca="1">IF(Errorhandling!C40,C79,"")</f>
        <v>135</v>
      </c>
      <c r="I79" s="64"/>
      <c r="J79" s="369">
        <f ca="1">IF(H79="","",IF(Errorhandling!C$40,MIN(H38,H52,M$9)/1000,""))</f>
        <v>0.43615143982172577</v>
      </c>
      <c r="K79" s="112">
        <f t="shared" ca="1" si="14"/>
        <v>135</v>
      </c>
      <c r="L79" s="754">
        <f t="shared" ca="1" si="12"/>
        <v>436.15143982172577</v>
      </c>
    </row>
    <row r="80" spans="2:12" x14ac:dyDescent="0.2">
      <c r="B80" s="10"/>
      <c r="C80" s="64">
        <f t="shared" ca="1" si="15"/>
        <v>180</v>
      </c>
      <c r="D80" s="65" t="b">
        <f t="shared" ca="1" si="16"/>
        <v>0</v>
      </c>
      <c r="E80" s="66" t="b">
        <f t="shared" ca="1" si="17"/>
        <v>0</v>
      </c>
      <c r="G80" s="2"/>
      <c r="H80" s="86">
        <f ca="1">IF(Errorhandling!C40,C80,"")</f>
        <v>180</v>
      </c>
      <c r="I80" s="64"/>
      <c r="J80" s="369">
        <f ca="1">IF(H80="","",IF(Errorhandling!C$40,MIN(H39,H53,M$9)/1000,""))</f>
        <v>0.24526597865302802</v>
      </c>
      <c r="K80" s="112">
        <f t="shared" ca="1" si="14"/>
        <v>180</v>
      </c>
      <c r="L80" s="754">
        <f t="shared" ca="1" si="12"/>
        <v>245.26597865302801</v>
      </c>
    </row>
    <row r="81" spans="2:12" x14ac:dyDescent="0.2">
      <c r="B81" s="10"/>
      <c r="C81" s="64">
        <f t="shared" ca="1" si="15"/>
        <v>270</v>
      </c>
      <c r="D81" s="65" t="b">
        <f t="shared" ca="1" si="16"/>
        <v>0</v>
      </c>
      <c r="E81" s="66" t="b">
        <f t="shared" ca="1" si="17"/>
        <v>0</v>
      </c>
      <c r="G81" s="2"/>
      <c r="H81" s="86">
        <f ca="1">IF(Errorhandling!C40,C81,"")</f>
        <v>270</v>
      </c>
      <c r="I81" s="64"/>
      <c r="J81" s="369">
        <f ca="1">IF(H81="","",IF(Errorhandling!C$40,MIN(H40,H54,M$9)/1000,""))</f>
        <v>0.19482169186138323</v>
      </c>
      <c r="K81" s="112">
        <f t="shared" ca="1" si="14"/>
        <v>270</v>
      </c>
      <c r="L81" s="754">
        <f t="shared" ca="1" si="12"/>
        <v>194.82169186138324</v>
      </c>
    </row>
    <row r="82" spans="2:12" x14ac:dyDescent="0.2">
      <c r="B82" s="10"/>
      <c r="C82" s="64">
        <f t="shared" ca="1" si="15"/>
        <v>360</v>
      </c>
      <c r="D82" s="65" t="b">
        <f t="shared" ca="1" si="16"/>
        <v>0</v>
      </c>
      <c r="E82" s="66" t="b">
        <f t="shared" ca="1" si="17"/>
        <v>0</v>
      </c>
      <c r="G82" s="2"/>
      <c r="H82" s="86">
        <f ca="1">IF(Errorhandling!C40,C82,"")</f>
        <v>360</v>
      </c>
      <c r="I82" s="64"/>
      <c r="J82" s="369">
        <f ca="1">IF(H82="","",IF(Errorhandling!C$40,MIN(H41,H55,M$9)/1000,""))</f>
        <v>0.15475237058225047</v>
      </c>
      <c r="K82" s="112">
        <f t="shared" ca="1" si="14"/>
        <v>360</v>
      </c>
      <c r="L82" s="754">
        <f t="shared" ca="1" si="12"/>
        <v>154.75237058225048</v>
      </c>
    </row>
    <row r="83" spans="2:12" x14ac:dyDescent="0.2">
      <c r="B83" s="10"/>
      <c r="C83" s="64">
        <f t="shared" ca="1" si="15"/>
        <v>405</v>
      </c>
      <c r="D83" s="65" t="b">
        <f t="shared" ca="1" si="16"/>
        <v>0</v>
      </c>
      <c r="E83" s="66" t="b">
        <f t="shared" ca="1" si="17"/>
        <v>0</v>
      </c>
      <c r="G83" s="2"/>
      <c r="H83" s="86">
        <f ca="1">IF(Errorhandling!C40,C83,"")</f>
        <v>405</v>
      </c>
      <c r="I83" s="64"/>
      <c r="J83" s="369">
        <f ca="1">IF(H83="","",IF(Errorhandling!C$40,MIN(H42,H56,M$9)/1000,""))</f>
        <v>0.1379231954598516</v>
      </c>
      <c r="K83" s="112">
        <f t="shared" ca="1" si="14"/>
        <v>405</v>
      </c>
      <c r="L83" s="754">
        <f t="shared" ca="1" si="12"/>
        <v>137.9231954598516</v>
      </c>
    </row>
    <row r="84" spans="2:12" x14ac:dyDescent="0.2">
      <c r="B84" s="10"/>
      <c r="C84" s="64">
        <f t="shared" ca="1" si="15"/>
        <v>450</v>
      </c>
      <c r="D84" s="65" t="b">
        <f t="shared" ca="1" si="16"/>
        <v>0</v>
      </c>
      <c r="E84" s="66" t="b">
        <f t="shared" ca="1" si="17"/>
        <v>0</v>
      </c>
      <c r="G84" s="2"/>
      <c r="H84" s="86">
        <f ca="1">IF(Errorhandling!C40,C84,"")</f>
        <v>450</v>
      </c>
      <c r="I84" s="64"/>
      <c r="J84" s="369">
        <f ca="1">IF(H84="","",IF(Errorhandling!C$40,MIN(H43,H57,M$9)/1000,""))</f>
        <v>7.7559912509380532E-2</v>
      </c>
      <c r="K84" s="112">
        <f t="shared" ca="1" si="14"/>
        <v>450</v>
      </c>
      <c r="L84" s="754">
        <f t="shared" ca="1" si="12"/>
        <v>77.559912509380538</v>
      </c>
    </row>
    <row r="85" spans="2:12" x14ac:dyDescent="0.2">
      <c r="B85" s="10"/>
      <c r="C85" s="64" t="str">
        <f t="shared" ca="1" si="15"/>
        <v/>
      </c>
      <c r="D85" s="65" t="str">
        <f ca="1">IF($C85="","",NOT($E44=$F44))</f>
        <v/>
      </c>
      <c r="E85" s="66" t="str">
        <f ca="1">IF($C85="","",NOT($E58=$F58))</f>
        <v/>
      </c>
      <c r="G85" s="2"/>
      <c r="H85" s="86" t="str">
        <f ca="1">C85</f>
        <v/>
      </c>
      <c r="I85" s="64"/>
      <c r="J85" s="369" t="str">
        <f ca="1">IF(H85="","",IF(Errorhandling!C$40,MIN(H44,H58,M$9)/1000,""))</f>
        <v/>
      </c>
      <c r="K85" s="112" t="str">
        <f t="shared" ca="1" si="14"/>
        <v/>
      </c>
      <c r="L85" s="754" t="e">
        <f t="shared" ca="1" si="12"/>
        <v>#VALUE!</v>
      </c>
    </row>
    <row r="86" spans="2:12" x14ac:dyDescent="0.2">
      <c r="B86" s="10"/>
      <c r="C86" s="64" t="str">
        <f t="shared" ca="1" si="15"/>
        <v/>
      </c>
      <c r="D86" s="65" t="str">
        <f ca="1">IF($C86="","",NOT($E45=$F45))</f>
        <v/>
      </c>
      <c r="E86" s="66" t="str">
        <f ca="1">IF($C86="","",NOT($E59=$F59))</f>
        <v/>
      </c>
      <c r="G86" s="2"/>
      <c r="H86" s="86" t="str">
        <f ca="1">C86</f>
        <v/>
      </c>
      <c r="I86" s="64"/>
      <c r="J86" s="369" t="str">
        <f ca="1">IF(H86="","",IF(Errorhandling!C$40,MIN(H45,H59,M$9)/1000,""))</f>
        <v/>
      </c>
      <c r="K86" s="112" t="str">
        <f t="shared" ca="1" si="14"/>
        <v/>
      </c>
      <c r="L86" s="754" t="e">
        <f t="shared" ca="1" si="12"/>
        <v>#VALUE!</v>
      </c>
    </row>
    <row r="87" spans="2:12" x14ac:dyDescent="0.2">
      <c r="B87" s="10"/>
      <c r="C87" s="67" t="str">
        <f t="shared" ca="1" si="15"/>
        <v/>
      </c>
      <c r="D87" s="68" t="str">
        <f ca="1">IF($C87="","",NOT($E46=$F46))</f>
        <v/>
      </c>
      <c r="E87" s="69" t="str">
        <f ca="1">IF($C87="","",NOT($E60=$F60))</f>
        <v/>
      </c>
      <c r="G87" s="2"/>
      <c r="H87" s="87" t="str">
        <f ca="1">C87</f>
        <v/>
      </c>
      <c r="I87" s="64"/>
      <c r="J87" s="369" t="str">
        <f ca="1">IF(H87="","",IF(Errorhandling!C40,MIN(H46,H60,M9)/1000,""))</f>
        <v/>
      </c>
      <c r="K87" s="113" t="str">
        <f t="shared" ca="1" si="14"/>
        <v/>
      </c>
      <c r="L87" s="754" t="e">
        <f t="shared" ca="1" si="12"/>
        <v>#VALUE!</v>
      </c>
    </row>
    <row r="88" spans="2:12" ht="10.5" x14ac:dyDescent="0.25">
      <c r="B88" s="43" t="s">
        <v>581</v>
      </c>
      <c r="C88" s="61">
        <f t="shared" ref="C88:C98" ca="1" si="18">L36</f>
        <v>97.5</v>
      </c>
      <c r="D88" s="62" t="b">
        <f t="shared" ref="D88:D94" ca="1" si="19">NOT(N36=O36)</f>
        <v>0</v>
      </c>
      <c r="E88" s="63" t="b">
        <f t="shared" ref="E88:E98" ca="1" si="20">IF($C88="","",NOT(O50=N50))</f>
        <v>0</v>
      </c>
      <c r="G88" s="364" t="s">
        <v>581</v>
      </c>
      <c r="H88" s="61">
        <f t="shared" ref="H88:H98" ca="1" si="21">L36</f>
        <v>97.5</v>
      </c>
      <c r="I88" s="61"/>
      <c r="J88" s="487">
        <f ca="1">IF(H88="","",IF(Errorhandling!$C$41,MIN(Q36,Q50,$N$9)/1000,""))</f>
        <v>0.87023653149570634</v>
      </c>
      <c r="K88" s="490">
        <f t="shared" ca="1" si="14"/>
        <v>97</v>
      </c>
      <c r="L88" s="754">
        <f t="shared" ca="1" si="12"/>
        <v>870.23653149570634</v>
      </c>
    </row>
    <row r="89" spans="2:12" x14ac:dyDescent="0.2">
      <c r="C89" s="64">
        <f t="shared" ca="1" si="18"/>
        <v>195</v>
      </c>
      <c r="D89" s="65" t="b">
        <f t="shared" ca="1" si="19"/>
        <v>0</v>
      </c>
      <c r="E89" s="66" t="b">
        <f t="shared" ca="1" si="20"/>
        <v>0</v>
      </c>
      <c r="H89" s="64">
        <f t="shared" ca="1" si="21"/>
        <v>195</v>
      </c>
      <c r="I89" s="64"/>
      <c r="J89" s="488">
        <f ca="1">IF(H89="","",IF(Errorhandling!$C$41,MIN(Q37,Q51,$N$9)/1000,""))</f>
        <v>0.69125344785556542</v>
      </c>
      <c r="K89" s="491">
        <f t="shared" ca="1" si="14"/>
        <v>195</v>
      </c>
      <c r="L89" s="754">
        <f t="shared" ca="1" si="12"/>
        <v>691.25344785556547</v>
      </c>
    </row>
    <row r="90" spans="2:12" x14ac:dyDescent="0.2">
      <c r="C90" s="64">
        <f t="shared" ca="1" si="18"/>
        <v>292.5</v>
      </c>
      <c r="D90" s="65" t="b">
        <f t="shared" ca="1" si="19"/>
        <v>0</v>
      </c>
      <c r="E90" s="66" t="b">
        <f t="shared" ca="1" si="20"/>
        <v>0</v>
      </c>
      <c r="H90" s="64">
        <f t="shared" ca="1" si="21"/>
        <v>292.5</v>
      </c>
      <c r="I90" s="64"/>
      <c r="J90" s="488">
        <f ca="1">IF(H90="","",IF(Errorhandling!$C$41,MIN(Q38,Q52,$N$9)/1000,""))</f>
        <v>0.54908213098218506</v>
      </c>
      <c r="K90" s="491">
        <f t="shared" ca="1" si="14"/>
        <v>292</v>
      </c>
      <c r="L90" s="754">
        <f t="shared" ca="1" si="12"/>
        <v>549.08213098218505</v>
      </c>
    </row>
    <row r="91" spans="2:12" x14ac:dyDescent="0.2">
      <c r="C91" s="64">
        <f t="shared" ca="1" si="18"/>
        <v>390</v>
      </c>
      <c r="D91" s="65" t="b">
        <f t="shared" ca="1" si="19"/>
        <v>0</v>
      </c>
      <c r="E91" s="66" t="b">
        <f t="shared" ca="1" si="20"/>
        <v>0</v>
      </c>
      <c r="H91" s="64">
        <f t="shared" ca="1" si="21"/>
        <v>390</v>
      </c>
      <c r="I91" s="64"/>
      <c r="J91" s="488">
        <f ca="1">IF(H91="","",IF(Errorhandling!$C$41,MIN(Q39,Q53,$N$9)/1000,""))</f>
        <v>0.34644740326604517</v>
      </c>
      <c r="K91" s="491">
        <f t="shared" ca="1" si="14"/>
        <v>390</v>
      </c>
      <c r="L91" s="754">
        <f t="shared" ca="1" si="12"/>
        <v>346.44740326604517</v>
      </c>
    </row>
    <row r="92" spans="2:12" x14ac:dyDescent="0.2">
      <c r="C92" s="64">
        <f t="shared" ca="1" si="18"/>
        <v>585</v>
      </c>
      <c r="D92" s="65" t="b">
        <f t="shared" ca="1" si="19"/>
        <v>0</v>
      </c>
      <c r="E92" s="66" t="b">
        <f t="shared" ca="1" si="20"/>
        <v>0</v>
      </c>
      <c r="H92" s="64">
        <f t="shared" ca="1" si="21"/>
        <v>585</v>
      </c>
      <c r="I92" s="64"/>
      <c r="J92" s="488">
        <f ca="1">IF(H92="","",IF(Errorhandling!$C$41,MIN(Q40,Q54,$N$9)/1000,""))</f>
        <v>0.2185935335668025</v>
      </c>
      <c r="K92" s="491">
        <f t="shared" ca="1" si="14"/>
        <v>585</v>
      </c>
      <c r="L92" s="754">
        <f t="shared" ca="1" si="12"/>
        <v>218.59353356680251</v>
      </c>
    </row>
    <row r="93" spans="2:12" x14ac:dyDescent="0.2">
      <c r="C93" s="64">
        <f t="shared" ca="1" si="18"/>
        <v>780</v>
      </c>
      <c r="D93" s="65" t="b">
        <f t="shared" ca="1" si="19"/>
        <v>0</v>
      </c>
      <c r="E93" s="66" t="b">
        <f t="shared" ca="1" si="20"/>
        <v>0</v>
      </c>
      <c r="H93" s="64">
        <f t="shared" ca="1" si="21"/>
        <v>780</v>
      </c>
      <c r="I93" s="64"/>
      <c r="J93" s="488">
        <f ca="1">IF(H93="","",IF(Errorhandling!$C$41,MIN(Q41,Q55,$N$9)/1000,""))</f>
        <v>0.12292417734399674</v>
      </c>
      <c r="K93" s="491">
        <f t="shared" ca="1" si="14"/>
        <v>780</v>
      </c>
      <c r="L93" s="754">
        <f t="shared" ca="1" si="12"/>
        <v>122.92417734399675</v>
      </c>
    </row>
    <row r="94" spans="2:12" x14ac:dyDescent="0.2">
      <c r="C94" s="64">
        <f t="shared" ca="1" si="18"/>
        <v>877.5</v>
      </c>
      <c r="D94" s="65" t="b">
        <f t="shared" ca="1" si="19"/>
        <v>0</v>
      </c>
      <c r="E94" s="66" t="b">
        <f t="shared" ca="1" si="20"/>
        <v>0</v>
      </c>
      <c r="H94" s="64">
        <f t="shared" ca="1" si="21"/>
        <v>877.5</v>
      </c>
      <c r="I94" s="64"/>
      <c r="J94" s="488">
        <f ca="1">IF(H94="","",IF(Errorhandling!$C$41,MIN(Q42,Q56,$N$9)/1000,""))</f>
        <v>8.7023653149570709E-2</v>
      </c>
      <c r="K94" s="491">
        <f t="shared" ca="1" si="14"/>
        <v>877</v>
      </c>
      <c r="L94" s="754">
        <f t="shared" ca="1" si="12"/>
        <v>87.023653149570706</v>
      </c>
    </row>
    <row r="95" spans="2:12" x14ac:dyDescent="0.2">
      <c r="C95" s="64">
        <f t="shared" ca="1" si="18"/>
        <v>975</v>
      </c>
      <c r="D95" s="65" t="b">
        <f ca="1">IF($C95="","",NOT(N43=O43))</f>
        <v>0</v>
      </c>
      <c r="E95" s="66" t="b">
        <f t="shared" ca="1" si="20"/>
        <v>0</v>
      </c>
      <c r="H95" s="64">
        <f t="shared" ca="1" si="21"/>
        <v>975</v>
      </c>
      <c r="I95" s="64"/>
      <c r="J95" s="488">
        <f ca="1">IF(H95="","",IF(Errorhandling!$C$41,MIN(Q43,Q57,$N$9)/1000,""))</f>
        <v>8.7023653149570709E-2</v>
      </c>
      <c r="K95" s="491">
        <f t="shared" ca="1" si="14"/>
        <v>975</v>
      </c>
      <c r="L95" s="754">
        <f t="shared" ca="1" si="12"/>
        <v>87.023653149570706</v>
      </c>
    </row>
    <row r="96" spans="2:12" x14ac:dyDescent="0.2">
      <c r="C96" s="64">
        <f t="shared" ca="1" si="18"/>
        <v>1170</v>
      </c>
      <c r="D96" s="65" t="b">
        <f ca="1">IF($C96="","",NOT(N44=O44))</f>
        <v>0</v>
      </c>
      <c r="E96" s="66" t="b">
        <f t="shared" ca="1" si="20"/>
        <v>0</v>
      </c>
      <c r="H96" s="64">
        <f t="shared" ca="1" si="21"/>
        <v>1170</v>
      </c>
      <c r="I96" s="64"/>
      <c r="J96" s="488">
        <f ca="1">IF(H96="","",IF(Errorhandling!$C$41,MIN(Q44,Q58,$N$9)/1000,""))</f>
        <v>4.8936996435034873E-2</v>
      </c>
      <c r="K96" s="491">
        <f t="shared" ca="1" si="14"/>
        <v>1170</v>
      </c>
      <c r="L96" s="754">
        <f t="shared" ca="1" si="12"/>
        <v>48.936996435034871</v>
      </c>
    </row>
    <row r="97" spans="2:12" x14ac:dyDescent="0.2">
      <c r="C97" s="64">
        <f t="shared" ca="1" si="18"/>
        <v>1299.9000000000001</v>
      </c>
      <c r="D97" s="65" t="b">
        <f ca="1">IF($C97="","",NOT(N45=O45))</f>
        <v>0</v>
      </c>
      <c r="E97" s="66" t="b">
        <f t="shared" ca="1" si="20"/>
        <v>0</v>
      </c>
      <c r="H97" s="64">
        <f t="shared" ca="1" si="21"/>
        <v>1299.9000000000001</v>
      </c>
      <c r="I97" s="64"/>
      <c r="J97" s="488">
        <f ca="1">IF(H97="","",IF(Errorhandling!$C$41,MIN(Q45,Q59,$N$9)/1000,""))</f>
        <v>3.0877157317486262E-2</v>
      </c>
      <c r="K97" s="491">
        <f t="shared" ca="1" si="14"/>
        <v>1299</v>
      </c>
      <c r="L97" s="754">
        <f t="shared" ca="1" si="12"/>
        <v>30.877157317486262</v>
      </c>
    </row>
    <row r="98" spans="2:12" x14ac:dyDescent="0.2">
      <c r="C98" s="64" t="str">
        <f t="shared" ca="1" si="18"/>
        <v/>
      </c>
      <c r="D98" s="68" t="str">
        <f ca="1">IF($C98="","",NOT(N46=O46))</f>
        <v/>
      </c>
      <c r="E98" s="69" t="str">
        <f t="shared" ca="1" si="20"/>
        <v/>
      </c>
      <c r="H98" s="64" t="str">
        <f t="shared" ca="1" si="21"/>
        <v/>
      </c>
      <c r="I98" s="67"/>
      <c r="J98" s="489" t="str">
        <f ca="1">IF(H98="","",IF(Errorhandling!$C$41,MIN(Q46,Q60,$N$9)/1000,""))</f>
        <v/>
      </c>
      <c r="K98" s="363" t="str">
        <f t="shared" ca="1" si="14"/>
        <v/>
      </c>
    </row>
    <row r="99" spans="2:12" ht="10.5" x14ac:dyDescent="0.25">
      <c r="B99" s="43" t="s">
        <v>667</v>
      </c>
      <c r="C99" s="61">
        <f ca="1">U36</f>
        <v>97.5</v>
      </c>
      <c r="D99" s="62" t="b">
        <f ca="1">NOT(W36=X36)</f>
        <v>0</v>
      </c>
      <c r="E99" s="63" t="b">
        <f ca="1">IF($C99="","",NOT(W50=X50))</f>
        <v>0</v>
      </c>
      <c r="G99" s="43" t="s">
        <v>667</v>
      </c>
      <c r="H99" s="71">
        <f ca="1">U36</f>
        <v>97.5</v>
      </c>
      <c r="I99" s="62"/>
      <c r="J99" s="487">
        <f ca="1">IF(H99="","",IF(Errorhandling!$C$41,MIN(Y36,Y50,$N$9)/1000,""))</f>
        <v>3.8872037990949677E-5</v>
      </c>
      <c r="K99" s="490">
        <f t="shared" ref="K99:K109" ca="1" si="22">IF(ISNUMBER(ROUNDDOWN(H99,0)),ROUNDDOWN(H99,0),"")</f>
        <v>97</v>
      </c>
    </row>
    <row r="100" spans="2:12" x14ac:dyDescent="0.2">
      <c r="C100" s="64">
        <f ca="1">U37</f>
        <v>195</v>
      </c>
      <c r="D100" s="65" t="b">
        <f ca="1">NOT(W37=X37)</f>
        <v>0</v>
      </c>
      <c r="E100" s="66" t="b">
        <f t="shared" ref="E100:E108" ca="1" si="23">IF($C100="","",NOT(N62=M62))</f>
        <v>0</v>
      </c>
      <c r="H100" s="156">
        <f t="shared" ref="H100:H108" ca="1" si="24">U37</f>
        <v>195</v>
      </c>
      <c r="I100" s="65"/>
      <c r="J100" s="488">
        <f ca="1">IF(H100="","",IF(Errorhandling!$C$41,MIN(Y37,Y51,$N$9)/1000,""))</f>
        <v>3.8872037990949677E-5</v>
      </c>
      <c r="K100" s="491">
        <f t="shared" ca="1" si="22"/>
        <v>195</v>
      </c>
    </row>
    <row r="101" spans="2:12" x14ac:dyDescent="0.2">
      <c r="C101" s="64">
        <f ca="1">U38</f>
        <v>292.5</v>
      </c>
      <c r="D101" s="65" t="b">
        <f t="shared" ref="D101:D108" ca="1" si="25">NOT(W38=X38)</f>
        <v>0</v>
      </c>
      <c r="E101" s="66" t="b">
        <f t="shared" ca="1" si="23"/>
        <v>0</v>
      </c>
      <c r="H101" s="156">
        <f t="shared" ca="1" si="24"/>
        <v>292.5</v>
      </c>
      <c r="I101" s="65"/>
      <c r="J101" s="488">
        <f ca="1">IF(H101="","",IF(Errorhandling!$C$41,MIN(Y38,Y52,$N$9)/1000,""))</f>
        <v>3.4644740326604493E-5</v>
      </c>
      <c r="K101" s="491">
        <f t="shared" ca="1" si="22"/>
        <v>292</v>
      </c>
    </row>
    <row r="102" spans="2:12" x14ac:dyDescent="0.2">
      <c r="C102" s="64">
        <f t="shared" ref="C102:C108" ca="1" si="26">U39</f>
        <v>390</v>
      </c>
      <c r="D102" s="65" t="b">
        <f t="shared" ca="1" si="25"/>
        <v>0</v>
      </c>
      <c r="E102" s="66" t="b">
        <f t="shared" ca="1" si="23"/>
        <v>0</v>
      </c>
      <c r="H102" s="156">
        <f t="shared" ca="1" si="24"/>
        <v>390</v>
      </c>
      <c r="I102" s="65"/>
      <c r="J102" s="488">
        <f ca="1">IF(H102="","",IF(Errorhandling!$C$41,MIN(Y39,Y53,$N$9)/1000,""))</f>
        <v>3.4644740326604493E-5</v>
      </c>
      <c r="K102" s="491">
        <f t="shared" ca="1" si="22"/>
        <v>390</v>
      </c>
    </row>
    <row r="103" spans="2:12" x14ac:dyDescent="0.2">
      <c r="C103" s="64">
        <f t="shared" ca="1" si="26"/>
        <v>585</v>
      </c>
      <c r="D103" s="65" t="b">
        <f t="shared" ca="1" si="25"/>
        <v>0</v>
      </c>
      <c r="E103" s="66" t="b">
        <f t="shared" ca="1" si="23"/>
        <v>0</v>
      </c>
      <c r="H103" s="156">
        <f t="shared" ca="1" si="24"/>
        <v>585</v>
      </c>
      <c r="I103" s="65"/>
      <c r="J103" s="488">
        <f ca="1">IF(H103="","",IF(Errorhandling!$C$41,MIN(Y40,Y54,$N$9)/1000,""))</f>
        <v>3.0877157317486264E-5</v>
      </c>
      <c r="K103" s="491">
        <f t="shared" ca="1" si="22"/>
        <v>585</v>
      </c>
    </row>
    <row r="104" spans="2:12" x14ac:dyDescent="0.2">
      <c r="C104" s="64">
        <f t="shared" ca="1" si="26"/>
        <v>780</v>
      </c>
      <c r="D104" s="65" t="b">
        <f t="shared" ca="1" si="25"/>
        <v>0</v>
      </c>
      <c r="E104" s="66" t="b">
        <f t="shared" ca="1" si="23"/>
        <v>0</v>
      </c>
      <c r="H104" s="156">
        <f t="shared" ca="1" si="24"/>
        <v>780</v>
      </c>
      <c r="I104" s="65"/>
      <c r="J104" s="488">
        <f ca="1">IF(H104="","",IF(Errorhandling!$C$41,MIN(Y41,Y55,$N$9)/1000,""))</f>
        <v>3.0877157317486264E-5</v>
      </c>
      <c r="K104" s="491">
        <f t="shared" ca="1" si="22"/>
        <v>780</v>
      </c>
    </row>
    <row r="105" spans="2:12" x14ac:dyDescent="0.2">
      <c r="C105" s="64">
        <f t="shared" ca="1" si="26"/>
        <v>877.5</v>
      </c>
      <c r="D105" s="65" t="b">
        <f t="shared" ca="1" si="25"/>
        <v>0</v>
      </c>
      <c r="E105" s="66" t="b">
        <f t="shared" ca="1" si="23"/>
        <v>0</v>
      </c>
      <c r="H105" s="156">
        <f t="shared" ca="1" si="24"/>
        <v>877.5</v>
      </c>
      <c r="I105" s="65"/>
      <c r="J105" s="488">
        <f ca="1">IF(H105="","",IF(Errorhandling!$C$41,MIN(Y42,Y56,$N$9)/1000,""))</f>
        <v>2.7519295426112869E-5</v>
      </c>
      <c r="K105" s="491">
        <f t="shared" ca="1" si="22"/>
        <v>877</v>
      </c>
    </row>
    <row r="106" spans="2:12" x14ac:dyDescent="0.2">
      <c r="C106" s="64">
        <f t="shared" ca="1" si="26"/>
        <v>975</v>
      </c>
      <c r="D106" s="65" t="b">
        <f t="shared" ca="1" si="25"/>
        <v>0</v>
      </c>
      <c r="E106" s="66" t="b">
        <f t="shared" ca="1" si="23"/>
        <v>0</v>
      </c>
      <c r="H106" s="156">
        <f t="shared" ca="1" si="24"/>
        <v>975</v>
      </c>
      <c r="I106" s="65"/>
      <c r="J106" s="488">
        <f ca="1">IF(H106="","",IF(Errorhandling!$C$41,MIN(Y43,Y57,$N$9)/1000,""))</f>
        <v>2.7519295426112869E-5</v>
      </c>
      <c r="K106" s="491">
        <f t="shared" ca="1" si="22"/>
        <v>975</v>
      </c>
    </row>
    <row r="107" spans="2:12" x14ac:dyDescent="0.2">
      <c r="C107" s="64">
        <f t="shared" ca="1" si="26"/>
        <v>1170</v>
      </c>
      <c r="D107" s="65" t="b">
        <f t="shared" ca="1" si="25"/>
        <v>0</v>
      </c>
      <c r="E107" s="66" t="b">
        <f t="shared" ca="1" si="23"/>
        <v>0</v>
      </c>
      <c r="H107" s="156">
        <f t="shared" ca="1" si="24"/>
        <v>1170</v>
      </c>
      <c r="I107" s="65"/>
      <c r="J107" s="488">
        <f ca="1">IF(H107="","",IF(Errorhandling!$C$41,MIN(Y44,Y58,$N$9)/1000,""))</f>
        <v>2.4526597865302789E-5</v>
      </c>
      <c r="K107" s="491">
        <f t="shared" ca="1" si="22"/>
        <v>1170</v>
      </c>
    </row>
    <row r="108" spans="2:12" x14ac:dyDescent="0.2">
      <c r="C108" s="64">
        <f t="shared" ca="1" si="26"/>
        <v>1300.0500000000002</v>
      </c>
      <c r="D108" s="65" t="b">
        <f t="shared" ca="1" si="25"/>
        <v>0</v>
      </c>
      <c r="E108" s="66" t="b">
        <f t="shared" ca="1" si="23"/>
        <v>0</v>
      </c>
      <c r="H108" s="156">
        <f t="shared" ca="1" si="24"/>
        <v>1300.0500000000002</v>
      </c>
      <c r="I108" s="65"/>
      <c r="J108" s="488">
        <f ca="1">IF(H108="","",IF(Errorhandling!$C$41,MIN(Y45,Y59,$N$9)/1000,""))</f>
        <v>2.1859353356680235E-5</v>
      </c>
      <c r="K108" s="491">
        <f t="shared" ca="1" si="22"/>
        <v>1300</v>
      </c>
    </row>
    <row r="109" spans="2:12" x14ac:dyDescent="0.2">
      <c r="C109" s="67" t="str">
        <f ca="1">U46</f>
        <v/>
      </c>
      <c r="D109" s="68"/>
      <c r="E109" s="69"/>
      <c r="H109" s="72" t="str">
        <f ca="1">U46</f>
        <v/>
      </c>
      <c r="I109" s="68"/>
      <c r="J109" s="489" t="str">
        <f ca="1">IF(H109="","",IF(Errorhandling!$C$41,MIN(Q57,O71,$N$9)/1000,""))</f>
        <v/>
      </c>
      <c r="K109" s="363" t="str">
        <f t="shared" ca="1" si="22"/>
        <v/>
      </c>
    </row>
  </sheetData>
  <mergeCells count="3">
    <mergeCell ref="E2:G2"/>
    <mergeCell ref="I65:J65"/>
    <mergeCell ref="S33:X33"/>
  </mergeCells>
  <phoneticPr fontId="2" type="noConversion"/>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26"/>
  <sheetViews>
    <sheetView workbookViewId="0">
      <selection activeCell="D2" sqref="D2"/>
    </sheetView>
  </sheetViews>
  <sheetFormatPr baseColWidth="10" defaultColWidth="11.453125" defaultRowHeight="10" x14ac:dyDescent="0.2"/>
  <cols>
    <col min="1" max="1" width="1.54296875" style="1" customWidth="1"/>
    <col min="2" max="2" width="14" style="1" bestFit="1" customWidth="1"/>
    <col min="3" max="3" width="10" style="1" bestFit="1" customWidth="1"/>
    <col min="4" max="8" width="20.7265625" style="1" customWidth="1"/>
    <col min="9" max="16384" width="11.453125" style="1"/>
  </cols>
  <sheetData>
    <row r="2" spans="2:9" x14ac:dyDescent="0.2">
      <c r="B2" s="889" t="s">
        <v>446</v>
      </c>
      <c r="C2" s="889"/>
    </row>
    <row r="6" spans="2:9" ht="10.5" x14ac:dyDescent="0.25">
      <c r="B6" s="421" t="s">
        <v>447</v>
      </c>
      <c r="C6" s="422" t="s">
        <v>458</v>
      </c>
      <c r="D6" s="422" t="s">
        <v>449</v>
      </c>
      <c r="E6" s="422" t="s">
        <v>450</v>
      </c>
      <c r="F6" s="422" t="s">
        <v>451</v>
      </c>
      <c r="G6" s="423" t="s">
        <v>452</v>
      </c>
    </row>
    <row r="7" spans="2:9" x14ac:dyDescent="0.2">
      <c r="B7" s="7" t="s">
        <v>448</v>
      </c>
      <c r="C7" s="424">
        <f>ProductTable!C2</f>
        <v>12</v>
      </c>
      <c r="D7" s="424">
        <f>CT_APtoWLAN!D3</f>
        <v>12</v>
      </c>
      <c r="E7" s="424">
        <f>CT_APtoSTA!D3</f>
        <v>12</v>
      </c>
      <c r="F7" s="424">
        <f>CT_APtoC1!D3</f>
        <v>12</v>
      </c>
      <c r="G7" s="425">
        <f>TDAntenna!P4</f>
        <v>12</v>
      </c>
      <c r="H7" s="420"/>
      <c r="I7" s="420"/>
    </row>
    <row r="8" spans="2:9" x14ac:dyDescent="0.2">
      <c r="C8" s="420"/>
      <c r="D8" s="420"/>
      <c r="E8" s="420"/>
      <c r="F8" s="420"/>
      <c r="G8" s="420"/>
      <c r="H8" s="420"/>
      <c r="I8" s="420"/>
    </row>
    <row r="9" spans="2:9" ht="10.5" x14ac:dyDescent="0.25">
      <c r="B9" s="421" t="s">
        <v>233</v>
      </c>
      <c r="C9" s="422" t="s">
        <v>458</v>
      </c>
      <c r="D9" s="422" t="s">
        <v>453</v>
      </c>
      <c r="E9" s="422" t="s">
        <v>454</v>
      </c>
      <c r="F9" s="422" t="s">
        <v>455</v>
      </c>
      <c r="G9" s="422" t="s">
        <v>456</v>
      </c>
      <c r="H9" s="423" t="s">
        <v>457</v>
      </c>
      <c r="I9" s="420"/>
    </row>
    <row r="10" spans="2:9" x14ac:dyDescent="0.2">
      <c r="B10" s="7" t="s">
        <v>448</v>
      </c>
      <c r="C10" s="424">
        <f>ProductTable!H2</f>
        <v>14</v>
      </c>
      <c r="D10" s="426">
        <f>CT_C1toANT!D2</f>
        <v>13</v>
      </c>
      <c r="E10" s="426">
        <f>CT_STAtoANT!D2</f>
        <v>14</v>
      </c>
      <c r="F10" s="426">
        <f>TDAntenna!C4</f>
        <v>14</v>
      </c>
      <c r="G10" s="426">
        <f>TDAntenna!J4</f>
        <v>14</v>
      </c>
      <c r="H10" s="427">
        <f>TDAntenna!U4</f>
        <v>14</v>
      </c>
      <c r="I10" s="420"/>
    </row>
    <row r="11" spans="2:9" x14ac:dyDescent="0.2">
      <c r="C11" s="420"/>
      <c r="D11" s="420"/>
      <c r="E11" s="420"/>
      <c r="F11" s="420"/>
      <c r="G11" s="420"/>
      <c r="H11" s="420"/>
      <c r="I11" s="420"/>
    </row>
    <row r="12" spans="2:9" ht="10.5" x14ac:dyDescent="0.25">
      <c r="B12" s="421" t="s">
        <v>286</v>
      </c>
      <c r="C12" s="422" t="s">
        <v>458</v>
      </c>
      <c r="D12" s="422" t="s">
        <v>451</v>
      </c>
      <c r="E12" s="422" t="s">
        <v>453</v>
      </c>
      <c r="F12" s="428" t="s">
        <v>461</v>
      </c>
      <c r="G12" s="422" t="s">
        <v>459</v>
      </c>
      <c r="H12" s="423" t="s">
        <v>460</v>
      </c>
      <c r="I12" s="420"/>
    </row>
    <row r="13" spans="2:9" x14ac:dyDescent="0.2">
      <c r="B13" s="7" t="s">
        <v>448</v>
      </c>
      <c r="C13" s="424">
        <f>ProductTable!M2</f>
        <v>18</v>
      </c>
      <c r="D13" s="426">
        <f>CT_APtoC1!D2</f>
        <v>18</v>
      </c>
      <c r="E13" s="426">
        <f>CT_C1toANT!D3</f>
        <v>18</v>
      </c>
      <c r="F13" s="426">
        <f>CT_SAtoC1!D2</f>
        <v>18</v>
      </c>
      <c r="G13" s="426">
        <f>TDCable!C3</f>
        <v>18</v>
      </c>
      <c r="H13" s="427">
        <f>TDCable!J3</f>
        <v>18</v>
      </c>
      <c r="I13" s="420"/>
    </row>
    <row r="14" spans="2:9" x14ac:dyDescent="0.2">
      <c r="C14" s="420"/>
      <c r="D14" s="420"/>
      <c r="E14" s="420"/>
      <c r="F14" s="420"/>
      <c r="G14" s="420"/>
      <c r="H14" s="420"/>
      <c r="I14" s="420"/>
    </row>
    <row r="15" spans="2:9" ht="10.5" x14ac:dyDescent="0.25">
      <c r="B15" s="421" t="s">
        <v>20</v>
      </c>
      <c r="C15" s="422" t="s">
        <v>458</v>
      </c>
      <c r="D15" s="422" t="s">
        <v>461</v>
      </c>
      <c r="E15" s="423" t="s">
        <v>462</v>
      </c>
      <c r="F15" s="420"/>
      <c r="G15" s="420"/>
      <c r="H15" s="420"/>
      <c r="I15" s="420"/>
    </row>
    <row r="16" spans="2:9" x14ac:dyDescent="0.2">
      <c r="B16" s="7" t="s">
        <v>448</v>
      </c>
      <c r="C16" s="424">
        <f>ProductTable!R2</f>
        <v>3</v>
      </c>
      <c r="D16" s="426">
        <f>CT_SAtoC1!D3</f>
        <v>3</v>
      </c>
      <c r="E16" s="427">
        <f>TDSurgeArrestor!C2</f>
        <v>3</v>
      </c>
      <c r="F16" s="420"/>
      <c r="G16" s="420"/>
      <c r="H16" s="420"/>
      <c r="I16" s="420"/>
    </row>
    <row r="17" spans="2:9" x14ac:dyDescent="0.2">
      <c r="C17" s="420"/>
      <c r="D17" s="420"/>
      <c r="E17" s="420"/>
      <c r="F17" s="420"/>
      <c r="G17" s="420"/>
      <c r="H17" s="420"/>
      <c r="I17" s="420"/>
    </row>
    <row r="18" spans="2:9" ht="10.5" x14ac:dyDescent="0.25">
      <c r="B18" s="421" t="s">
        <v>23</v>
      </c>
      <c r="C18" s="422" t="s">
        <v>458</v>
      </c>
      <c r="D18" s="422" t="s">
        <v>449</v>
      </c>
      <c r="E18" s="422" t="s">
        <v>463</v>
      </c>
      <c r="F18" s="423" t="s">
        <v>464</v>
      </c>
      <c r="G18" s="420"/>
      <c r="H18" s="420"/>
      <c r="I18" s="420"/>
    </row>
    <row r="19" spans="2:9" x14ac:dyDescent="0.2">
      <c r="B19" s="7" t="s">
        <v>448</v>
      </c>
      <c r="C19" s="424">
        <f>ProductTable!W2</f>
        <v>24</v>
      </c>
      <c r="D19" s="426">
        <f>CT_APtoWLAN!D2</f>
        <v>24</v>
      </c>
      <c r="E19" s="426">
        <f>CT_STAtoWLAN!D2</f>
        <v>24</v>
      </c>
      <c r="F19" s="427">
        <f>COUNTA(TDWLANModule!B3:B42)</f>
        <v>24</v>
      </c>
      <c r="G19" s="420"/>
      <c r="H19" s="420"/>
      <c r="I19" s="420"/>
    </row>
    <row r="20" spans="2:9" x14ac:dyDescent="0.2">
      <c r="C20" s="420"/>
      <c r="D20" s="420"/>
      <c r="E20" s="420"/>
      <c r="F20" s="420"/>
      <c r="G20" s="420"/>
      <c r="H20" s="420"/>
      <c r="I20" s="420"/>
    </row>
    <row r="21" spans="2:9" ht="10.5" x14ac:dyDescent="0.25">
      <c r="B21" s="429" t="s">
        <v>248</v>
      </c>
      <c r="C21" s="422" t="s">
        <v>458</v>
      </c>
      <c r="D21" s="422" t="s">
        <v>450</v>
      </c>
      <c r="E21" s="422" t="s">
        <v>454</v>
      </c>
      <c r="F21" s="422" t="s">
        <v>463</v>
      </c>
      <c r="G21" s="422" t="s">
        <v>465</v>
      </c>
      <c r="H21" s="423" t="s">
        <v>466</v>
      </c>
      <c r="I21" s="420"/>
    </row>
    <row r="22" spans="2:9" x14ac:dyDescent="0.2">
      <c r="B22" s="7" t="s">
        <v>448</v>
      </c>
      <c r="C22" s="424">
        <f>ProductTable!AB2</f>
        <v>7</v>
      </c>
      <c r="D22" s="426">
        <f>CT_APtoSTA!D2</f>
        <v>7</v>
      </c>
      <c r="E22" s="426">
        <f>CT_STAtoANT!D3</f>
        <v>7</v>
      </c>
      <c r="F22" s="426">
        <f>CT_STAtoWLAN!D3</f>
        <v>7</v>
      </c>
      <c r="G22" s="426">
        <f ca="1">TDcustomEIRP!C30</f>
        <v>7</v>
      </c>
      <c r="H22" s="427">
        <f>COUNTA(Calc!K10:K17)</f>
        <v>7</v>
      </c>
      <c r="I22" s="420"/>
    </row>
    <row r="23" spans="2:9" x14ac:dyDescent="0.2">
      <c r="C23" s="420"/>
      <c r="D23" s="420"/>
      <c r="E23" s="420"/>
      <c r="F23" s="420"/>
      <c r="G23" s="420"/>
      <c r="H23" s="420"/>
      <c r="I23" s="420"/>
    </row>
    <row r="24" spans="2:9" x14ac:dyDescent="0.2">
      <c r="C24" s="420"/>
      <c r="D24" s="420"/>
      <c r="E24" s="420"/>
      <c r="F24" s="420"/>
      <c r="G24" s="420"/>
      <c r="H24" s="420"/>
      <c r="I24" s="420"/>
    </row>
    <row r="25" spans="2:9" x14ac:dyDescent="0.2">
      <c r="C25" s="420"/>
      <c r="D25" s="420"/>
      <c r="E25" s="420"/>
      <c r="F25" s="420"/>
      <c r="G25" s="420"/>
      <c r="H25" s="420"/>
      <c r="I25" s="420"/>
    </row>
    <row r="26" spans="2:9" x14ac:dyDescent="0.2">
      <c r="C26" s="420"/>
      <c r="D26" s="420"/>
      <c r="E26" s="420"/>
      <c r="F26" s="420"/>
      <c r="G26" s="420"/>
      <c r="H26" s="420"/>
      <c r="I26" s="420"/>
    </row>
  </sheetData>
  <mergeCells count="1">
    <mergeCell ref="B2:C2"/>
  </mergeCells>
  <phoneticPr fontId="2" type="noConversion"/>
  <conditionalFormatting sqref="D7:G7">
    <cfRule type="cellIs" dxfId="11" priority="1" stopIfTrue="1" operator="equal">
      <formula>$C$7</formula>
    </cfRule>
    <cfRule type="cellIs" dxfId="10" priority="2" stopIfTrue="1" operator="notEqual">
      <formula>$C$7</formula>
    </cfRule>
  </conditionalFormatting>
  <conditionalFormatting sqref="D10:H10">
    <cfRule type="cellIs" dxfId="9" priority="3" stopIfTrue="1" operator="equal">
      <formula>$C$10</formula>
    </cfRule>
    <cfRule type="cellIs" dxfId="8" priority="4" stopIfTrue="1" operator="notEqual">
      <formula>$C$10</formula>
    </cfRule>
  </conditionalFormatting>
  <conditionalFormatting sqref="D13:H13">
    <cfRule type="cellIs" dxfId="7" priority="5" stopIfTrue="1" operator="equal">
      <formula>$C$13</formula>
    </cfRule>
    <cfRule type="cellIs" dxfId="6" priority="6" stopIfTrue="1" operator="notEqual">
      <formula>$C$13</formula>
    </cfRule>
  </conditionalFormatting>
  <conditionalFormatting sqref="D16:E16">
    <cfRule type="cellIs" dxfId="5" priority="7" stopIfTrue="1" operator="equal">
      <formula>$C$16</formula>
    </cfRule>
    <cfRule type="cellIs" dxfId="4" priority="8" stopIfTrue="1" operator="notEqual">
      <formula>$C$16</formula>
    </cfRule>
  </conditionalFormatting>
  <conditionalFormatting sqref="D19:F19">
    <cfRule type="cellIs" dxfId="3" priority="9" stopIfTrue="1" operator="equal">
      <formula>$C$19</formula>
    </cfRule>
    <cfRule type="cellIs" dxfId="2" priority="10" stopIfTrue="1" operator="notEqual">
      <formula>$C$19</formula>
    </cfRule>
  </conditionalFormatting>
  <conditionalFormatting sqref="D22:H22">
    <cfRule type="cellIs" dxfId="1" priority="11" stopIfTrue="1" operator="equal">
      <formula>$C$22</formula>
    </cfRule>
    <cfRule type="cellIs" dxfId="0" priority="12" stopIfTrue="1" operator="notEqual">
      <formula>$C$22</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3"/>
  <sheetViews>
    <sheetView workbookViewId="0">
      <selection activeCell="D2" sqref="D2"/>
    </sheetView>
  </sheetViews>
  <sheetFormatPr baseColWidth="10" defaultColWidth="11.453125" defaultRowHeight="12.5" x14ac:dyDescent="0.25"/>
  <cols>
    <col min="1" max="1" width="127.54296875" customWidth="1"/>
  </cols>
  <sheetData>
    <row r="1" ht="97.5" customHeight="1" x14ac:dyDescent="0.25"/>
    <row r="2" ht="97.5" customHeight="1" x14ac:dyDescent="0.25"/>
    <row r="3" ht="102" customHeight="1" x14ac:dyDescent="0.25"/>
  </sheetData>
  <phoneticPr fontId="2" type="noConversion"/>
  <pageMargins left="0.78740157499999996" right="0.78740157499999996" top="0.984251969" bottom="0.984251969" header="0.4921259845" footer="0.4921259845"/>
  <pageSetup paperSize="9"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5"/>
  <sheetViews>
    <sheetView workbookViewId="0">
      <pane ySplit="1" topLeftCell="A17" activePane="bottomLeft" state="frozen"/>
      <selection activeCell="D2" sqref="D2"/>
      <selection pane="bottomLeft" activeCell="D2" sqref="D2"/>
    </sheetView>
  </sheetViews>
  <sheetFormatPr baseColWidth="10" defaultColWidth="11.453125" defaultRowHeight="12.5" x14ac:dyDescent="0.25"/>
  <cols>
    <col min="1" max="1" width="2.54296875" customWidth="1"/>
    <col min="2" max="2" width="50.7265625" customWidth="1"/>
    <col min="3" max="5" width="50.7265625" style="438" customWidth="1"/>
    <col min="6" max="6" width="113.453125" bestFit="1" customWidth="1"/>
  </cols>
  <sheetData>
    <row r="1" spans="1:5" ht="13" x14ac:dyDescent="0.3">
      <c r="A1" s="119"/>
      <c r="B1" s="325" t="s">
        <v>241</v>
      </c>
      <c r="C1" s="430" t="s">
        <v>150</v>
      </c>
      <c r="D1" s="439" t="s">
        <v>151</v>
      </c>
      <c r="E1" s="430" t="s">
        <v>236</v>
      </c>
    </row>
    <row r="2" spans="1:5" x14ac:dyDescent="0.25">
      <c r="B2" s="245" t="str">
        <f>INDEX(C2:E2,1,SelectionTables!$D$16)</f>
        <v>Default antenna</v>
      </c>
      <c r="C2" s="431" t="s">
        <v>140</v>
      </c>
      <c r="D2" s="440" t="s">
        <v>622</v>
      </c>
      <c r="E2" s="431" t="s">
        <v>214</v>
      </c>
    </row>
    <row r="3" spans="1:5" x14ac:dyDescent="0.25">
      <c r="B3" s="245" t="str">
        <f>INDEX(C3:E3,1,SelectionTables!$D$16)</f>
        <v>Other antenna</v>
      </c>
      <c r="C3" s="431" t="s">
        <v>130</v>
      </c>
      <c r="D3" s="440" t="s">
        <v>621</v>
      </c>
      <c r="E3" s="431" t="s">
        <v>190</v>
      </c>
    </row>
    <row r="4" spans="1:5" x14ac:dyDescent="0.25">
      <c r="B4" s="245" t="str">
        <f>INDEX(C4:E4,1,SelectionTables!$D$16)</f>
        <v>No cable</v>
      </c>
      <c r="C4" s="431" t="s">
        <v>132</v>
      </c>
      <c r="D4" s="440" t="s">
        <v>623</v>
      </c>
      <c r="E4" s="431" t="s">
        <v>213</v>
      </c>
    </row>
    <row r="5" spans="1:5" x14ac:dyDescent="0.25">
      <c r="B5" s="245" t="str">
        <f>INDEX(C5:E5,1,SelectionTables!$D$16)</f>
        <v>Other cable</v>
      </c>
      <c r="C5" s="431" t="s">
        <v>131</v>
      </c>
      <c r="D5" s="440" t="s">
        <v>624</v>
      </c>
      <c r="E5" s="431" t="s">
        <v>189</v>
      </c>
    </row>
    <row r="6" spans="1:5" x14ac:dyDescent="0.25">
      <c r="B6" s="245" t="str">
        <f>INDEX(C6:E6,1,SelectionTables!$D$16)</f>
        <v>No surge arrestor</v>
      </c>
      <c r="C6" s="431" t="s">
        <v>242</v>
      </c>
      <c r="D6" s="440" t="s">
        <v>625</v>
      </c>
      <c r="E6" s="431" t="s">
        <v>384</v>
      </c>
    </row>
    <row r="7" spans="1:5" x14ac:dyDescent="0.25">
      <c r="B7" s="245" t="str">
        <f>INDEX(C7:E7,1,SelectionTables!$D$16)</f>
        <v>Standard module</v>
      </c>
      <c r="C7" s="431" t="s">
        <v>143</v>
      </c>
      <c r="D7" s="440" t="s">
        <v>626</v>
      </c>
      <c r="E7" s="431" t="s">
        <v>215</v>
      </c>
    </row>
    <row r="8" spans="1:5" x14ac:dyDescent="0.25">
      <c r="B8" s="245" t="str">
        <f>INDEX(C8:E8,1,SelectionTables!$D$16)</f>
        <v>Integrated antenna</v>
      </c>
      <c r="C8" s="431" t="s">
        <v>146</v>
      </c>
      <c r="D8" s="440" t="s">
        <v>627</v>
      </c>
      <c r="E8" s="431" t="s">
        <v>378</v>
      </c>
    </row>
    <row r="9" spans="1:5" x14ac:dyDescent="0.25">
      <c r="B9" s="245" t="str">
        <f>INDEX(C9:E9,1,SelectionTables!$D$16)</f>
        <v>Yes</v>
      </c>
      <c r="C9" s="432" t="s">
        <v>128</v>
      </c>
      <c r="D9" s="441" t="s">
        <v>168</v>
      </c>
      <c r="E9" s="432" t="s">
        <v>212</v>
      </c>
    </row>
    <row r="10" spans="1:5" x14ac:dyDescent="0.25">
      <c r="B10" s="245" t="str">
        <f>INDEX(C10:E10,1,SelectionTables!$D$16)</f>
        <v>No</v>
      </c>
      <c r="C10" s="432" t="s">
        <v>129</v>
      </c>
      <c r="D10" s="441" t="s">
        <v>169</v>
      </c>
      <c r="E10" s="432" t="s">
        <v>169</v>
      </c>
    </row>
    <row r="11" spans="1:5" x14ac:dyDescent="0.25">
      <c r="B11" s="245" t="str">
        <f>INDEX(C11:E11,1,SelectionTables!$D$16)</f>
        <v>Access point / client adapter:</v>
      </c>
      <c r="C11" s="432" t="s">
        <v>649</v>
      </c>
      <c r="D11" s="441" t="s">
        <v>628</v>
      </c>
      <c r="E11" s="432" t="s">
        <v>218</v>
      </c>
    </row>
    <row r="12" spans="1:5" x14ac:dyDescent="0.25">
      <c r="B12" s="245" t="str">
        <f>INDEX(C12:E12,1,SelectionTables!$D$16)</f>
        <v>Wi-Fi chipset:</v>
      </c>
      <c r="C12" s="432" t="s">
        <v>121</v>
      </c>
      <c r="D12" s="441" t="s">
        <v>629</v>
      </c>
      <c r="E12" s="432" t="s">
        <v>183</v>
      </c>
    </row>
    <row r="13" spans="1:5" x14ac:dyDescent="0.25">
      <c r="B13" s="245" t="str">
        <f>INDEX(C13:E13,1,SelectionTables!$D$16)</f>
        <v>Wi-Fi standard:</v>
      </c>
      <c r="C13" s="432" t="s">
        <v>152</v>
      </c>
      <c r="D13" s="441" t="s">
        <v>630</v>
      </c>
      <c r="E13" s="432" t="s">
        <v>184</v>
      </c>
    </row>
    <row r="14" spans="1:5" x14ac:dyDescent="0.25">
      <c r="B14" s="245" t="str">
        <f>INDEX(C14:E14,1,SelectionTables!$D$16)</f>
        <v>Antenna:</v>
      </c>
      <c r="C14" s="432" t="s">
        <v>124</v>
      </c>
      <c r="D14" s="441" t="s">
        <v>153</v>
      </c>
      <c r="E14" s="432" t="s">
        <v>185</v>
      </c>
    </row>
    <row r="15" spans="1:5" x14ac:dyDescent="0.25">
      <c r="B15" s="245" t="str">
        <f>INDEX(C15:E15,1,SelectionTables!$D$16)</f>
        <v>Cable 1:</v>
      </c>
      <c r="C15" s="432" t="s">
        <v>122</v>
      </c>
      <c r="D15" s="441" t="s">
        <v>154</v>
      </c>
      <c r="E15" s="432" t="s">
        <v>154</v>
      </c>
    </row>
    <row r="16" spans="1:5" x14ac:dyDescent="0.25">
      <c r="B16" s="245" t="str">
        <f>INDEX(C16:E16,1,SelectionTables!$D$16)</f>
        <v>Surge arrestor:</v>
      </c>
      <c r="C16" s="432" t="s">
        <v>127</v>
      </c>
      <c r="D16" s="441" t="s">
        <v>631</v>
      </c>
      <c r="E16" s="432" t="s">
        <v>186</v>
      </c>
    </row>
    <row r="17" spans="2:5" x14ac:dyDescent="0.25">
      <c r="B17" s="245" t="str">
        <f>INDEX(C17:E17,1,SelectionTables!$D$16)</f>
        <v>Cable 2:</v>
      </c>
      <c r="C17" s="432" t="s">
        <v>123</v>
      </c>
      <c r="D17" s="441" t="s">
        <v>155</v>
      </c>
      <c r="E17" s="432" t="s">
        <v>155</v>
      </c>
    </row>
    <row r="18" spans="2:5" x14ac:dyDescent="0.25">
      <c r="B18" s="245" t="str">
        <f>INDEX(C18:E18,1,SelectionTables!$D$16)</f>
        <v>10 dB "bad weather" reserve:</v>
      </c>
      <c r="C18" s="432" t="s">
        <v>166</v>
      </c>
      <c r="D18" s="441" t="s">
        <v>632</v>
      </c>
      <c r="E18" s="432" t="s">
        <v>187</v>
      </c>
    </row>
    <row r="19" spans="2:5" x14ac:dyDescent="0.25">
      <c r="B19" s="245" t="str">
        <f>INDEX(C19:E19,1,SelectionTables!$D$16)</f>
        <v>Location</v>
      </c>
      <c r="C19" s="433" t="s">
        <v>719</v>
      </c>
      <c r="D19" s="442" t="s">
        <v>720</v>
      </c>
      <c r="E19" s="433" t="s">
        <v>188</v>
      </c>
    </row>
    <row r="20" spans="2:5" x14ac:dyDescent="0.25">
      <c r="B20" s="245" t="str">
        <f>INDEX(C20:E20,1,SelectionTables!$D$16)</f>
        <v>Version</v>
      </c>
      <c r="C20" s="431" t="s">
        <v>216</v>
      </c>
      <c r="D20" s="440" t="s">
        <v>216</v>
      </c>
      <c r="E20" s="431" t="s">
        <v>217</v>
      </c>
    </row>
    <row r="21" spans="2:5" x14ac:dyDescent="0.25">
      <c r="B21" s="245" t="str">
        <f>INDEX(C21:E21,1,SelectionTables!$D$16)</f>
        <v>Help</v>
      </c>
      <c r="C21" s="433" t="s">
        <v>176</v>
      </c>
      <c r="D21" s="442" t="s">
        <v>177</v>
      </c>
      <c r="E21" s="433" t="s">
        <v>193</v>
      </c>
    </row>
    <row r="22" spans="2:5" x14ac:dyDescent="0.25">
      <c r="B22" s="245" t="str">
        <f>INDEX(C22:E22,1,SelectionTables!$D$16)</f>
        <v>Gross data rate [Mbps]</v>
      </c>
      <c r="C22" s="432" t="s">
        <v>654</v>
      </c>
      <c r="D22" s="441" t="s">
        <v>633</v>
      </c>
      <c r="E22" s="432" t="s">
        <v>194</v>
      </c>
    </row>
    <row r="23" spans="2:5" x14ac:dyDescent="0.25">
      <c r="B23" s="245" t="str">
        <f>INDEX(C23:E23,1,SelectionTables!$D$16)</f>
        <v>Max. distance [m]</v>
      </c>
      <c r="C23" s="432" t="s">
        <v>693</v>
      </c>
      <c r="D23" s="441" t="s">
        <v>694</v>
      </c>
      <c r="E23" s="432" t="s">
        <v>695</v>
      </c>
    </row>
    <row r="24" spans="2:5" x14ac:dyDescent="0.25">
      <c r="B24" s="245" t="str">
        <f>INDEX(C24:E24,1,SelectionTables!$D$16)</f>
        <v>(for P2P radio links)</v>
      </c>
      <c r="C24" s="432" t="s">
        <v>125</v>
      </c>
      <c r="D24" s="442" t="s">
        <v>156</v>
      </c>
      <c r="E24" s="432" t="s">
        <v>195</v>
      </c>
    </row>
    <row r="25" spans="2:5" x14ac:dyDescent="0.25">
      <c r="B25" s="245" t="str">
        <f>INDEX(C25:E25,1,SelectionTables!$D$16)</f>
        <v>Distance to data rate</v>
      </c>
      <c r="C25" s="432" t="s">
        <v>167</v>
      </c>
      <c r="D25" s="442" t="s">
        <v>634</v>
      </c>
      <c r="E25" s="432" t="s">
        <v>196</v>
      </c>
    </row>
    <row r="26" spans="2:5" x14ac:dyDescent="0.25">
      <c r="B26" s="444" t="str">
        <f>INDEX(C26:E26,1,SelectionTables!$D$16)</f>
        <v>Point A antenna system gain [dBm]</v>
      </c>
      <c r="C26" s="321" t="s">
        <v>133</v>
      </c>
      <c r="D26" s="319" t="s">
        <v>635</v>
      </c>
      <c r="E26" s="321" t="s">
        <v>198</v>
      </c>
    </row>
    <row r="27" spans="2:5" x14ac:dyDescent="0.25">
      <c r="B27" s="444" t="str">
        <f>INDEX(C27:E27,1,SelectionTables!$D$16)</f>
        <v>Point B antenna system gain [dBm]</v>
      </c>
      <c r="C27" s="321" t="s">
        <v>134</v>
      </c>
      <c r="D27" s="319" t="s">
        <v>636</v>
      </c>
      <c r="E27" s="321" t="s">
        <v>199</v>
      </c>
    </row>
    <row r="28" spans="2:5" ht="25" x14ac:dyDescent="0.25">
      <c r="B28" s="445" t="str">
        <f>INDEX(C28:E28,1,SelectionTables!$D$16)</f>
        <v>Antenna gain reduced by cable and other attenuations (for configuration in LANconfig)</v>
      </c>
      <c r="C28" s="324" t="s">
        <v>135</v>
      </c>
      <c r="D28" s="441" t="s">
        <v>157</v>
      </c>
      <c r="E28" s="324" t="s">
        <v>200</v>
      </c>
    </row>
    <row r="29" spans="2:5" x14ac:dyDescent="0.25">
      <c r="B29" s="444" t="str">
        <f>INDEX(C29:E29,1,SelectionTables!$D$16)</f>
        <v>Back to the calculator.</v>
      </c>
      <c r="C29" s="324" t="s">
        <v>179</v>
      </c>
      <c r="D29" s="443" t="s">
        <v>637</v>
      </c>
      <c r="E29" s="324" t="s">
        <v>202</v>
      </c>
    </row>
    <row r="30" spans="2:5" ht="62.5" x14ac:dyDescent="0.25">
      <c r="B30" s="445" t="str">
        <f>INDEX(C30:E30,1,SelectionTables!$D$16)</f>
        <v>To check which Wi-Fi chipset is used in your LANCOM access point just open LANmonitor and look under -&gt; System information -&gt; Interfaces -&gt; WLAN as shown in the picture below.</v>
      </c>
      <c r="C30" s="322" t="s">
        <v>180</v>
      </c>
      <c r="D30" s="320" t="s">
        <v>655</v>
      </c>
      <c r="E30" s="322" t="s">
        <v>201</v>
      </c>
    </row>
    <row r="31" spans="2:5" x14ac:dyDescent="0.25">
      <c r="B31" s="445" t="str">
        <f>INDEX(C31:E31,1,SelectionTables!$D$16)</f>
        <v>Disclaimer</v>
      </c>
      <c r="C31" s="434" t="s">
        <v>75</v>
      </c>
      <c r="D31" s="443" t="s">
        <v>75</v>
      </c>
      <c r="E31" s="434" t="s">
        <v>203</v>
      </c>
    </row>
    <row r="32" spans="2:5" ht="100" x14ac:dyDescent="0.25">
      <c r="B32" s="445" t="str">
        <f>INDEX(C32:E32,1,SelectionTables!$D$16)</f>
        <v>The presented results are based on ideal conditions giving the maximum theoretical reliable link distance. Various obstacles in the 'real world' will cause dynamic and complex interferences that are too numerous to be covered by this calculator. Therefore all results have only theoretical value and LANCOM Systems cannot guarantee the displayed maximum distances and data rates in a life environment.</v>
      </c>
      <c r="C32" s="777" t="s">
        <v>717</v>
      </c>
      <c r="D32" s="778" t="s">
        <v>638</v>
      </c>
      <c r="E32" s="323" t="s">
        <v>204</v>
      </c>
    </row>
    <row r="33" spans="1:7" x14ac:dyDescent="0.25">
      <c r="B33" s="445" t="str">
        <f>INDEX(C33:E33,1,SelectionTables!$D$16)</f>
        <v>Mast height calculation</v>
      </c>
      <c r="C33" s="432" t="s">
        <v>126</v>
      </c>
      <c r="D33" s="443" t="s">
        <v>639</v>
      </c>
      <c r="E33" s="432" t="s">
        <v>197</v>
      </c>
    </row>
    <row r="34" spans="1:7" x14ac:dyDescent="0.25">
      <c r="B34" s="445" t="str">
        <f>INDEX(C34:E34,1,SelectionTables!$D$16)</f>
        <v>Distance [m]</v>
      </c>
      <c r="C34" s="433" t="s">
        <v>366</v>
      </c>
      <c r="D34" s="442" t="s">
        <v>367</v>
      </c>
      <c r="E34" s="433" t="s">
        <v>368</v>
      </c>
    </row>
    <row r="35" spans="1:7" x14ac:dyDescent="0.25">
      <c r="B35" s="445" t="str">
        <f>INDEX(C35:E35,1,SelectionTables!$D$16)</f>
        <v>Mast Height [m]</v>
      </c>
      <c r="C35" s="433" t="s">
        <v>356</v>
      </c>
      <c r="D35" s="442" t="s">
        <v>357</v>
      </c>
      <c r="E35" s="433" t="s">
        <v>358</v>
      </c>
    </row>
    <row r="36" spans="1:7" x14ac:dyDescent="0.25">
      <c r="B36" s="445" t="str">
        <f>INDEX(C36:E36,1,SelectionTables!$D$16)</f>
        <v>Gain:</v>
      </c>
      <c r="C36" s="433" t="s">
        <v>163</v>
      </c>
      <c r="D36" s="442" t="s">
        <v>160</v>
      </c>
      <c r="E36" s="433" t="s">
        <v>191</v>
      </c>
    </row>
    <row r="37" spans="1:7" x14ac:dyDescent="0.25">
      <c r="B37" s="445" t="str">
        <f>INDEX(C37:E37,1,SelectionTables!$D$16)</f>
        <v>Attenuation:</v>
      </c>
      <c r="C37" s="433" t="s">
        <v>162</v>
      </c>
      <c r="D37" s="442" t="s">
        <v>161</v>
      </c>
      <c r="E37" s="433" t="s">
        <v>192</v>
      </c>
    </row>
    <row r="38" spans="1:7" ht="25" x14ac:dyDescent="0.25">
      <c r="B38" s="445" t="str">
        <f>INDEX(C38:E38,1,SelectionTables!$D$16)</f>
        <v>40 MHz mode is not compatible with Atheros turbo mode.</v>
      </c>
      <c r="C38" s="434" t="s">
        <v>651</v>
      </c>
      <c r="D38" s="443" t="s">
        <v>652</v>
      </c>
      <c r="E38" s="434" t="s">
        <v>206</v>
      </c>
    </row>
    <row r="39" spans="1:7" ht="26.25" customHeight="1" x14ac:dyDescent="0.25">
      <c r="B39" s="445" t="str">
        <f>INDEX(C39:E39,1,SelectionTables!$D$16)</f>
        <v>Configuration cannot be used due to regulartory demands.</v>
      </c>
      <c r="C39" s="434" t="s">
        <v>136</v>
      </c>
      <c r="D39" s="443" t="s">
        <v>640</v>
      </c>
      <c r="E39" s="434" t="s">
        <v>207</v>
      </c>
    </row>
    <row r="40" spans="1:7" ht="25" x14ac:dyDescent="0.25">
      <c r="B40" s="445" t="str">
        <f ca="1">INDEX(C40:E40,1,SelectionTables!$D$16)</f>
        <v>Maximum distance calculated between point A and B by using maximum output power of 30 dBm.</v>
      </c>
      <c r="C40" s="435" t="str">
        <f ca="1">"Maximale Entfernung zwischen Punkt A und B sind mit maximaler Sendeleistung von "&amp;Calc!C2&amp;" dBm berechnet."</f>
        <v>Maximale Entfernung zwischen Punkt A und B sind mit maximaler Sendeleistung von 30 dBm berechnet.</v>
      </c>
      <c r="D40" s="448" t="str">
        <f ca="1">"Maximum distance calculated between point A and B by using maximum output power of "&amp;Calc!C2&amp;" dBm."</f>
        <v>Maximum distance calculated between point A and B by using maximum output power of 30 dBm.</v>
      </c>
      <c r="E40" s="435" t="str">
        <f ca="1">"La distancia máxima entre punto A y B se han calculado con la emisión máxima de "&amp;Calc!C2&amp;"dBm."</f>
        <v>La distancia máxima entre punto A y B se han calculado con la emisión máxima de 30dBm.</v>
      </c>
      <c r="F40" s="151"/>
      <c r="G40" s="153"/>
    </row>
    <row r="41" spans="1:7" x14ac:dyDescent="0.25">
      <c r="B41" s="445" t="str">
        <f>INDEX(C41:E41,1,SelectionTables!$D$16)</f>
        <v>Maximum of 100 Mbps netto available.</v>
      </c>
      <c r="C41" s="434" t="s">
        <v>656</v>
      </c>
      <c r="D41" s="443" t="s">
        <v>650</v>
      </c>
      <c r="E41" s="434" t="s">
        <v>208</v>
      </c>
      <c r="F41" s="151"/>
      <c r="G41" s="153"/>
    </row>
    <row r="42" spans="1:7" x14ac:dyDescent="0.25">
      <c r="B42" s="445" t="str">
        <f>INDEX(C42:E42,1,SelectionTables!$D$16)</f>
        <v>Select Wi-Fi standard.</v>
      </c>
      <c r="C42" s="434" t="s">
        <v>174</v>
      </c>
      <c r="D42" s="443" t="s">
        <v>641</v>
      </c>
      <c r="E42" s="434" t="s">
        <v>210</v>
      </c>
      <c r="F42" s="151"/>
      <c r="G42" s="153"/>
    </row>
    <row r="43" spans="1:7" x14ac:dyDescent="0.25">
      <c r="B43" s="445" t="str">
        <f>INDEX(C43:E43,1,SelectionTables!$D$16)</f>
        <v>Select chipset.</v>
      </c>
      <c r="C43" s="434" t="s">
        <v>178</v>
      </c>
      <c r="D43" s="443" t="s">
        <v>642</v>
      </c>
      <c r="E43" s="434" t="s">
        <v>211</v>
      </c>
      <c r="F43" s="151"/>
      <c r="G43" s="153"/>
    </row>
    <row r="44" spans="1:7" x14ac:dyDescent="0.25">
      <c r="B44" s="445" t="str">
        <f>INDEX(C44:E44,1,SelectionTables!$D$16)</f>
        <v>Select access point.</v>
      </c>
      <c r="C44" s="434" t="s">
        <v>175</v>
      </c>
      <c r="D44" s="443" t="s">
        <v>643</v>
      </c>
      <c r="E44" s="434" t="s">
        <v>381</v>
      </c>
      <c r="F44" s="151"/>
      <c r="G44" s="153"/>
    </row>
    <row r="45" spans="1:7" x14ac:dyDescent="0.25">
      <c r="B45" s="445" t="str">
        <f>INDEX(C45:E45,1,SelectionTables!$D$16)</f>
        <v>Integrated antenna is used.</v>
      </c>
      <c r="C45" s="434" t="s">
        <v>164</v>
      </c>
      <c r="D45" s="443" t="s">
        <v>644</v>
      </c>
      <c r="E45" s="434" t="s">
        <v>209</v>
      </c>
      <c r="F45" s="151"/>
      <c r="G45" s="153"/>
    </row>
    <row r="46" spans="1:7" x14ac:dyDescent="0.25">
      <c r="B46" s="445" t="str">
        <f>INDEX(C46:E46,1,SelectionTables!$D$16)</f>
        <v>Select cable.</v>
      </c>
      <c r="C46" s="432" t="s">
        <v>379</v>
      </c>
      <c r="D46" s="441" t="s">
        <v>645</v>
      </c>
      <c r="E46" s="432" t="s">
        <v>380</v>
      </c>
      <c r="F46" s="151"/>
      <c r="G46" s="153"/>
    </row>
    <row r="47" spans="1:7" x14ac:dyDescent="0.25">
      <c r="B47" s="445" t="str">
        <f>INDEX(C47:E47,1,SelectionTables!$D$16)</f>
        <v>Default cable</v>
      </c>
      <c r="C47" s="432" t="s">
        <v>613</v>
      </c>
      <c r="D47" s="441" t="s">
        <v>646</v>
      </c>
      <c r="E47" s="432"/>
      <c r="F47" s="151"/>
      <c r="G47" s="153"/>
    </row>
    <row r="48" spans="1:7" x14ac:dyDescent="0.25">
      <c r="A48" s="844" t="s">
        <v>445</v>
      </c>
      <c r="B48" s="445" t="str">
        <f>INDEX(C48:E48,1,SelectionTables!$D$16)</f>
        <v>40 MHz (km / Mbps)</v>
      </c>
      <c r="C48" s="432" t="s">
        <v>657</v>
      </c>
      <c r="D48" s="441" t="s">
        <v>647</v>
      </c>
      <c r="E48" s="432" t="s">
        <v>441</v>
      </c>
      <c r="F48" s="151"/>
      <c r="G48" s="153"/>
    </row>
    <row r="49" spans="1:6" x14ac:dyDescent="0.25">
      <c r="A49" s="844"/>
      <c r="B49" s="445" t="str">
        <f>INDEX(C49:E49,1,SelectionTables!$D$16)</f>
        <v>Turbo (km / Mbps)</v>
      </c>
      <c r="C49" s="432" t="s">
        <v>658</v>
      </c>
      <c r="D49" s="441" t="s">
        <v>648</v>
      </c>
      <c r="E49" s="432" t="s">
        <v>442</v>
      </c>
      <c r="F49" s="152"/>
    </row>
    <row r="50" spans="1:6" x14ac:dyDescent="0.25">
      <c r="A50" s="844"/>
      <c r="B50" s="445" t="str">
        <f>INDEX(C50:E50,1,SelectionTables!$D$16)</f>
        <v/>
      </c>
      <c r="C50" s="432" t="str">
        <f>""</f>
        <v/>
      </c>
      <c r="D50" s="436" t="str">
        <f>""</f>
        <v/>
      </c>
      <c r="E50" s="431" t="str">
        <f>""</f>
        <v/>
      </c>
    </row>
    <row r="51" spans="1:6" x14ac:dyDescent="0.25">
      <c r="A51" s="844"/>
      <c r="B51" s="445" t="str">
        <f>INDEX(C51:E51,1,SelectionTables!$D$16)</f>
        <v>40 MHz</v>
      </c>
      <c r="C51" s="432" t="s">
        <v>443</v>
      </c>
      <c r="D51" s="432" t="s">
        <v>443</v>
      </c>
      <c r="E51" s="432" t="s">
        <v>443</v>
      </c>
    </row>
    <row r="52" spans="1:6" x14ac:dyDescent="0.25">
      <c r="A52" s="844"/>
      <c r="B52" s="445" t="str">
        <f>INDEX(C52:E52,1,SelectionTables!$D$16)</f>
        <v>Turbo</v>
      </c>
      <c r="C52" s="432" t="s">
        <v>444</v>
      </c>
      <c r="D52" s="432" t="s">
        <v>444</v>
      </c>
      <c r="E52" s="432" t="s">
        <v>444</v>
      </c>
    </row>
    <row r="53" spans="1:6" x14ac:dyDescent="0.25">
      <c r="A53" s="844"/>
      <c r="B53" s="446" t="str">
        <f>INDEX(C53:E53,1,SelectionTables!$D$16)</f>
        <v/>
      </c>
      <c r="C53" s="441" t="str">
        <f>""</f>
        <v/>
      </c>
      <c r="D53" s="431" t="str">
        <f>""</f>
        <v/>
      </c>
      <c r="E53" s="447" t="str">
        <f>""</f>
        <v/>
      </c>
    </row>
    <row r="54" spans="1:6" x14ac:dyDescent="0.25">
      <c r="A54" s="122"/>
      <c r="B54" s="764" t="str">
        <f>INDEX(C54:E54,1,SelectionTables!$D$16)</f>
        <v>additional Fade Margin / Reserve:</v>
      </c>
      <c r="C54" s="440" t="s">
        <v>700</v>
      </c>
      <c r="D54" s="434" t="s">
        <v>707</v>
      </c>
      <c r="E54" s="447"/>
    </row>
    <row r="55" spans="1:6" x14ac:dyDescent="0.25">
      <c r="A55" s="122"/>
      <c r="B55" s="764" t="str">
        <f>INDEX(C55:E55,1,SelectionTables!$D$16)</f>
        <v>Manual for Antenna-Distance-Calculator</v>
      </c>
      <c r="C55" s="793" t="str">
        <f>HYPERLINK("https://www.lancom-systems.de/fileadmin/download/documentation/manuals/Antennen-Distanz-Kalkulator_DE.pdf","Anleitung zum Antennendistanzkalkulator")</f>
        <v>Anleitung zum Antennendistanzkalkulator</v>
      </c>
      <c r="D55" s="794" t="s">
        <v>722</v>
      </c>
      <c r="E55" s="447"/>
    </row>
    <row r="56" spans="1:6" x14ac:dyDescent="0.25">
      <c r="A56" s="122"/>
      <c r="B56" s="446"/>
      <c r="C56" s="793"/>
      <c r="D56" s="431"/>
      <c r="E56" s="447"/>
    </row>
    <row r="57" spans="1:6" x14ac:dyDescent="0.25">
      <c r="B57" s="446"/>
    </row>
    <row r="58" spans="1:6" x14ac:dyDescent="0.25">
      <c r="B58" s="446"/>
    </row>
    <row r="59" spans="1:6" x14ac:dyDescent="0.25">
      <c r="B59" s="446"/>
    </row>
    <row r="60" spans="1:6" x14ac:dyDescent="0.25">
      <c r="B60" s="446"/>
    </row>
    <row r="61" spans="1:6" x14ac:dyDescent="0.25">
      <c r="B61" s="446"/>
    </row>
    <row r="62" spans="1:6" x14ac:dyDescent="0.25">
      <c r="B62" s="446"/>
    </row>
    <row r="65" spans="3:5" x14ac:dyDescent="0.25">
      <c r="C65" s="437" t="s">
        <v>221</v>
      </c>
      <c r="D65" s="437" t="s">
        <v>222</v>
      </c>
      <c r="E65" s="437" t="s">
        <v>205</v>
      </c>
    </row>
  </sheetData>
  <mergeCells count="1">
    <mergeCell ref="A48:A53"/>
  </mergeCells>
  <phoneticPr fontId="2" type="noConversion"/>
  <hyperlinks>
    <hyperlink ref="D55" r:id="rId1" xr:uid="{00000000-0004-0000-0200-000000000000}"/>
  </hyperlinks>
  <pageMargins left="0.78740157499999996" right="0.78740157499999996" top="0.984251969" bottom="0.984251969" header="0.4921259845" footer="0.4921259845"/>
  <pageSetup paperSize="9" orientation="portrait" horizontalDpi="1200" verticalDpi="1200" r:id="rId2"/>
  <headerFooter alignWithMargins="0"/>
  <ignoredErrors>
    <ignoredError sqref="E40"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3"/>
  <sheetViews>
    <sheetView workbookViewId="0">
      <selection activeCell="D2" sqref="D2"/>
    </sheetView>
  </sheetViews>
  <sheetFormatPr baseColWidth="10" defaultColWidth="11.453125" defaultRowHeight="12.5" x14ac:dyDescent="0.25"/>
  <cols>
    <col min="1" max="1" width="46" style="91" customWidth="1"/>
    <col min="2" max="2" width="11.453125" style="91" customWidth="1"/>
  </cols>
  <sheetData>
    <row r="1" ht="312" customHeight="1" x14ac:dyDescent="0.25"/>
    <row r="2" ht="312" customHeight="1" x14ac:dyDescent="0.25"/>
    <row r="3" ht="312" customHeight="1" x14ac:dyDescent="0.25"/>
  </sheetData>
  <phoneticPr fontId="2" type="noConversion"/>
  <pageMargins left="0.78740157499999996" right="0.78740157499999996" top="0.984251969" bottom="0.984251969" header="0.4921259845" footer="0.4921259845"/>
  <pageSetup paperSize="9" orientation="portrait" horizontalDpi="1200" verticalDpi="12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3"/>
  <sheetViews>
    <sheetView workbookViewId="0">
      <selection activeCell="D2" sqref="D2"/>
    </sheetView>
  </sheetViews>
  <sheetFormatPr baseColWidth="10" defaultColWidth="11.453125" defaultRowHeight="12.5" x14ac:dyDescent="0.25"/>
  <cols>
    <col min="1" max="1" width="70.26953125" customWidth="1"/>
  </cols>
  <sheetData>
    <row r="1" ht="212.15" customHeight="1" x14ac:dyDescent="0.25"/>
    <row r="2" ht="212.15" customHeight="1" x14ac:dyDescent="0.25"/>
    <row r="3" ht="212.15" customHeight="1" x14ac:dyDescent="0.25"/>
  </sheetData>
  <phoneticPr fontId="2" type="noConversion"/>
  <pageMargins left="0.78740157499999996" right="0.78740157499999996" top="0.984251969" bottom="0.984251969" header="0.4921259845" footer="0.4921259845"/>
  <pageSetup paperSize="9"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B2:E72"/>
  <sheetViews>
    <sheetView workbookViewId="0">
      <selection activeCell="D2" sqref="D2"/>
    </sheetView>
  </sheetViews>
  <sheetFormatPr baseColWidth="10" defaultColWidth="11.453125" defaultRowHeight="10" x14ac:dyDescent="0.2"/>
  <cols>
    <col min="1" max="1" width="2.81640625" style="1" customWidth="1"/>
    <col min="2" max="2" width="29.1796875" style="1" bestFit="1" customWidth="1"/>
    <col min="3" max="3" width="11.453125" style="1"/>
    <col min="4" max="4" width="15.453125" style="1" bestFit="1" customWidth="1"/>
    <col min="5" max="5" width="117.81640625" style="1" bestFit="1" customWidth="1"/>
    <col min="6" max="6" width="14" style="1" bestFit="1" customWidth="1"/>
    <col min="7" max="9" width="11.453125" style="1"/>
    <col min="10" max="10" width="12.7265625" style="1" bestFit="1" customWidth="1"/>
    <col min="11" max="16384" width="11.453125" style="1"/>
  </cols>
  <sheetData>
    <row r="2" spans="2:5" ht="10.5" x14ac:dyDescent="0.25">
      <c r="B2" s="44" t="s">
        <v>170</v>
      </c>
      <c r="C2" s="44" t="s">
        <v>47</v>
      </c>
      <c r="D2" s="44" t="s">
        <v>53</v>
      </c>
      <c r="E2" s="44" t="s">
        <v>66</v>
      </c>
    </row>
    <row r="3" spans="2:5" x14ac:dyDescent="0.2">
      <c r="B3" s="1" t="s">
        <v>171</v>
      </c>
      <c r="C3" s="71" t="b">
        <f ca="1">TDSelected!C13=""</f>
        <v>0</v>
      </c>
      <c r="D3" s="71" t="b">
        <f ca="1">AND(TDSelected!C38="",D5=FALSE)</f>
        <v>0</v>
      </c>
      <c r="E3" s="339" t="str">
        <f>LanguageTable!B43</f>
        <v>Select chipset.</v>
      </c>
    </row>
    <row r="4" spans="2:5" x14ac:dyDescent="0.2">
      <c r="B4" s="1" t="s">
        <v>172</v>
      </c>
      <c r="C4" s="845" t="b">
        <f ca="1">AND(TDSelected!D3="",C3=FALSE)</f>
        <v>0</v>
      </c>
      <c r="D4" s="846"/>
      <c r="E4" s="339" t="str">
        <f>LanguageTable!B42</f>
        <v>Select Wi-Fi standard.</v>
      </c>
    </row>
    <row r="5" spans="2:5" x14ac:dyDescent="0.2">
      <c r="B5" s="1" t="s">
        <v>173</v>
      </c>
      <c r="C5" s="24"/>
      <c r="D5" s="156" t="b">
        <f ca="1">AND(TDSelected!C35="",C4=FALSE)</f>
        <v>0</v>
      </c>
      <c r="E5" s="149" t="str">
        <f>LanguageTable!B44</f>
        <v>Select access point.</v>
      </c>
    </row>
    <row r="6" spans="2:5" x14ac:dyDescent="0.2">
      <c r="B6" s="1" t="s">
        <v>382</v>
      </c>
      <c r="C6" s="70" t="b">
        <f ca="1">AND(TDSelected!C26=LanguageTable!B4,NOT(TDSelected!C29=LanguageTable!B2))</f>
        <v>0</v>
      </c>
      <c r="D6" s="70" t="b">
        <f ca="1">AND(TDSelected!C51=LanguageTable!B4,NOT(TDSelected!C54=LanguageTable!B2))</f>
        <v>0</v>
      </c>
      <c r="E6" s="149" t="str">
        <f>LanguageTable!B46</f>
        <v>Select cable.</v>
      </c>
    </row>
    <row r="7" spans="2:5" x14ac:dyDescent="0.2">
      <c r="B7" s="1" t="s">
        <v>383</v>
      </c>
      <c r="C7" s="70" t="b">
        <f ca="1">AND(TDSelected!F26=LanguageTable!B4,NOT(TDSelected!F29=LanguageTable!B6))</f>
        <v>0</v>
      </c>
      <c r="D7" s="70" t="b">
        <f ca="1">AND(TDSelected!F51=LanguageTable!B4,NOT(TDSelected!F54=LanguageTable!B6))</f>
        <v>0</v>
      </c>
      <c r="E7" s="149" t="str">
        <f>LanguageTable!B46</f>
        <v>Select cable.</v>
      </c>
    </row>
    <row r="8" spans="2:5" x14ac:dyDescent="0.2">
      <c r="C8" s="24"/>
      <c r="D8" s="24"/>
      <c r="E8" s="155"/>
    </row>
    <row r="9" spans="2:5" x14ac:dyDescent="0.2">
      <c r="C9" s="24"/>
      <c r="D9" s="24"/>
      <c r="E9" s="24"/>
    </row>
    <row r="10" spans="2:5" ht="10.5" x14ac:dyDescent="0.25">
      <c r="B10" s="44" t="s">
        <v>54</v>
      </c>
      <c r="C10" s="44" t="s">
        <v>47</v>
      </c>
      <c r="D10" s="44" t="s">
        <v>53</v>
      </c>
      <c r="E10" s="44" t="s">
        <v>66</v>
      </c>
    </row>
    <row r="11" spans="2:5" x14ac:dyDescent="0.2">
      <c r="B11" s="1" t="s">
        <v>433</v>
      </c>
      <c r="C11" s="71" t="b">
        <f ca="1">INDEX(INDIRECT(TDWLANModule!D1),MATCH(TDSelected!C13,INDIRECT(TDWLANModule!B1),0))</f>
        <v>1</v>
      </c>
      <c r="D11" s="71" t="b">
        <f ca="1">INDEX(INDIRECT(TDWLANModule!D1),MATCH(TDSelected!C38,INDIRECT(TDWLANModule!B1),0))</f>
        <v>1</v>
      </c>
    </row>
    <row r="12" spans="2:5" x14ac:dyDescent="0.2">
      <c r="B12" s="24" t="s">
        <v>434</v>
      </c>
      <c r="C12" s="70" t="b">
        <f ca="1">OR(NOT(INDEX(INDIRECT(TDWLANModule!D1),MATCH(TDSelected!C13,INDIRECT(TDWLANModule!B1),0))),IF(TDSelected!C10="LANCOM L-315agn dual Wireless",TRUE,FALSE))</f>
        <v>0</v>
      </c>
      <c r="D12" s="70" t="b">
        <f ca="1">OR(NOT(INDEX(INDIRECT(TDWLANModule!D1),MATCH(TDSelected!C38,INDIRECT(TDWLANModule!B1),0))),IF(TDSelected!C35="LANCOM L-315agn dual Wireless",TRUE,FALSE))</f>
        <v>0</v>
      </c>
    </row>
    <row r="13" spans="2:5" ht="10.5" x14ac:dyDescent="0.25">
      <c r="B13" s="1" t="s">
        <v>436</v>
      </c>
      <c r="C13" s="70" t="b">
        <f ca="1">AND(C11=TRUE,D11=TRUE,OR(TDSelected!D4=3,TDSelected!D4=4,TDSelected!D4=6,TDSelected!D4=7))</f>
        <v>1</v>
      </c>
      <c r="E13" s="121"/>
    </row>
    <row r="14" spans="2:5" x14ac:dyDescent="0.2">
      <c r="B14" s="1" t="s">
        <v>437</v>
      </c>
      <c r="C14" s="70" t="b">
        <f ca="1">AND(C12=TRUE,D12=TRUE,OR(TDSelected!D4=1,TDSelected!D4=2,TDSelected!D4=5))</f>
        <v>0</v>
      </c>
    </row>
    <row r="15" spans="2:5" ht="10.5" x14ac:dyDescent="0.25">
      <c r="B15" s="13" t="s">
        <v>438</v>
      </c>
      <c r="C15" s="73" t="b">
        <f ca="1">IF(C13,TRUE,FALSE)</f>
        <v>1</v>
      </c>
      <c r="D15" s="13"/>
      <c r="E15" s="44"/>
    </row>
    <row r="16" spans="2:5" ht="10.5" x14ac:dyDescent="0.25">
      <c r="B16" s="13" t="s">
        <v>439</v>
      </c>
      <c r="C16" s="73" t="b">
        <f ca="1">IF(C14,IF(C15,FALSE,TRUE),FALSE)</f>
        <v>0</v>
      </c>
      <c r="D16" s="44"/>
    </row>
    <row r="17" spans="2:5" ht="10.5" x14ac:dyDescent="0.25">
      <c r="B17" s="13" t="s">
        <v>440</v>
      </c>
      <c r="C17" s="73" t="b">
        <f ca="1">AND(NOT(C15),NOT(C16))</f>
        <v>0</v>
      </c>
      <c r="D17" s="44"/>
      <c r="E17" s="354" t="str">
        <f>LanguageTable!B38</f>
        <v>40 MHz mode is not compatible with Atheros turbo mode.</v>
      </c>
    </row>
    <row r="18" spans="2:5" ht="10.5" x14ac:dyDescent="0.25">
      <c r="B18" s="13" t="s">
        <v>498</v>
      </c>
      <c r="C18" s="44"/>
      <c r="D18" s="44"/>
      <c r="E18" s="136"/>
    </row>
    <row r="19" spans="2:5" ht="10.5" x14ac:dyDescent="0.25">
      <c r="B19" s="13"/>
      <c r="C19" s="44"/>
      <c r="D19" s="44"/>
      <c r="E19" s="44"/>
    </row>
    <row r="20" spans="2:5" ht="10.5" x14ac:dyDescent="0.25">
      <c r="B20" s="44" t="s">
        <v>377</v>
      </c>
      <c r="C20" s="44"/>
      <c r="D20" s="44"/>
      <c r="E20" s="44"/>
    </row>
    <row r="21" spans="2:5" x14ac:dyDescent="0.2">
      <c r="B21" s="13" t="s">
        <v>19</v>
      </c>
      <c r="C21" s="127" t="b">
        <f ca="1">TDSelected!C29=LanguageTable!B3</f>
        <v>0</v>
      </c>
      <c r="D21" s="240" t="b">
        <f ca="1">TDSelected!C54=LanguageTable!B3</f>
        <v>0</v>
      </c>
      <c r="E21" s="354" t="str">
        <f>LanguageTable!B36</f>
        <v>Gain:</v>
      </c>
    </row>
    <row r="22" spans="2:5" x14ac:dyDescent="0.2">
      <c r="B22" s="13" t="s">
        <v>21</v>
      </c>
      <c r="C22" s="129" t="b">
        <f ca="1">TDSelected!C26=LanguageTable!B5</f>
        <v>0</v>
      </c>
      <c r="D22" s="258" t="b">
        <f ca="1">TDSelected!C51=LanguageTable!B5</f>
        <v>0</v>
      </c>
      <c r="E22" s="354" t="str">
        <f>LanguageTable!B37</f>
        <v>Attenuation:</v>
      </c>
    </row>
    <row r="23" spans="2:5" x14ac:dyDescent="0.2">
      <c r="B23" s="13" t="s">
        <v>22</v>
      </c>
      <c r="C23" s="131" t="b">
        <f ca="1">TDSelected!F26=LanguageTable!B5</f>
        <v>0</v>
      </c>
      <c r="D23" s="264" t="b">
        <f ca="1">TDSelected!F51=LanguageTable!B5</f>
        <v>0</v>
      </c>
      <c r="E23" s="354" t="str">
        <f>LanguageTable!B37</f>
        <v>Attenuation:</v>
      </c>
    </row>
    <row r="24" spans="2:5" ht="10.5" x14ac:dyDescent="0.25">
      <c r="B24" s="13"/>
      <c r="C24" s="44"/>
      <c r="D24" s="44"/>
      <c r="E24" s="44"/>
    </row>
    <row r="25" spans="2:5" ht="10.5" x14ac:dyDescent="0.25">
      <c r="B25" s="44"/>
      <c r="C25" s="44"/>
      <c r="D25" s="44"/>
      <c r="E25" s="44"/>
    </row>
    <row r="26" spans="2:5" ht="10.5" x14ac:dyDescent="0.25">
      <c r="B26" s="44" t="s">
        <v>63</v>
      </c>
      <c r="C26" s="44" t="s">
        <v>47</v>
      </c>
      <c r="D26" s="44" t="s">
        <v>53</v>
      </c>
      <c r="E26" s="44" t="s">
        <v>66</v>
      </c>
    </row>
    <row r="27" spans="2:5" x14ac:dyDescent="0.2">
      <c r="B27" s="1" t="s">
        <v>413</v>
      </c>
      <c r="C27" s="70" t="b">
        <f>IF(ISERROR(Calc!I8:I18),FALSE,OR(Calc!I8:I18))</f>
        <v>0</v>
      </c>
      <c r="D27" s="70" t="b">
        <f>IF(ISERROR(Calc!I50:I60),FALSE,OR(Calc!I50:I60))</f>
        <v>0</v>
      </c>
      <c r="E27" s="354" t="str">
        <f>LanguageTable!B39</f>
        <v>Configuration cannot be used due to regulartory demands.</v>
      </c>
    </row>
    <row r="28" spans="2:5" ht="10.5" x14ac:dyDescent="0.25">
      <c r="B28" s="1" t="s">
        <v>414</v>
      </c>
      <c r="C28" s="70" t="b">
        <f>IF(ISERROR(Calc!I36:I46),FALSE,OR(Calc!I36:I46))</f>
        <v>0</v>
      </c>
      <c r="D28" s="70" t="b">
        <f ca="1">IF(ISERROR(OR(Calc!H23:H33,Calc!H51:H61)),FALSE,OR(Calc!H23:H33,Calc!H51:H61))</f>
        <v>1</v>
      </c>
      <c r="E28" s="75"/>
    </row>
    <row r="29" spans="2:5" ht="10.5" x14ac:dyDescent="0.25">
      <c r="B29" s="1" t="s">
        <v>415</v>
      </c>
      <c r="C29" s="847" t="b">
        <f ca="1">IF(AND(C15=FALSE,C16=FALSE),TRUE,FALSE)</f>
        <v>0</v>
      </c>
      <c r="D29" s="848"/>
      <c r="E29" s="75"/>
    </row>
    <row r="30" spans="2:5" ht="10.5" x14ac:dyDescent="0.25">
      <c r="C30" s="24"/>
      <c r="D30" s="24"/>
      <c r="E30" s="75"/>
    </row>
    <row r="31" spans="2:5" ht="10.5" x14ac:dyDescent="0.25">
      <c r="C31" s="24"/>
      <c r="D31" s="24"/>
      <c r="E31" s="75"/>
    </row>
    <row r="32" spans="2:5" ht="10.5" x14ac:dyDescent="0.25">
      <c r="C32" s="24"/>
      <c r="D32" s="24"/>
      <c r="E32" s="44"/>
    </row>
    <row r="33" spans="2:5" ht="10.5" x14ac:dyDescent="0.25">
      <c r="B33" s="44" t="s">
        <v>65</v>
      </c>
      <c r="C33" s="44" t="s">
        <v>47</v>
      </c>
      <c r="D33" s="44" t="s">
        <v>53</v>
      </c>
      <c r="E33" s="44" t="s">
        <v>66</v>
      </c>
    </row>
    <row r="34" spans="2:5" x14ac:dyDescent="0.2">
      <c r="B34" s="1" t="s">
        <v>60</v>
      </c>
      <c r="C34" s="61" t="b">
        <f ca="1">IF(ISERROR(OR(Calc!D66:D87)),FALSE,OR(Calc!D66:D87))</f>
        <v>0</v>
      </c>
      <c r="D34" s="71" t="b">
        <f ca="1">IF(ISERROR(OR(Calc!E66:E87)),FALSE,OR(Calc!D66:D87))</f>
        <v>0</v>
      </c>
      <c r="E34" s="354" t="str">
        <f ca="1">LanguageTable!B40</f>
        <v>Maximum distance calculated between point A and B by using maximum output power of 30 dBm.</v>
      </c>
    </row>
    <row r="35" spans="2:5" x14ac:dyDescent="0.2">
      <c r="B35" s="1" t="s">
        <v>165</v>
      </c>
      <c r="C35" s="67" t="b">
        <f ca="1">AND(OR(TDSelected!C10="LANCOM OAP-54-1 Wireless",TDSelected!C10="LANCOM OAC-54-1 Wireless"),TDSelected!C29=LanguageTable!B2)</f>
        <v>0</v>
      </c>
      <c r="D35" s="72" t="b">
        <f ca="1">AND(OR(TDSelected!C35="LANCOM OAP-54-1 Wireless",TDSelected!C35="LANCOM OAC-54-1 Wireless"),TDSelected!C54=LanguageTable!B2)</f>
        <v>0</v>
      </c>
      <c r="E35" s="354" t="str">
        <f>LanguageTable!B45</f>
        <v>Integrated antenna is used.</v>
      </c>
    </row>
    <row r="36" spans="2:5" ht="10.5" x14ac:dyDescent="0.25">
      <c r="B36" s="1" t="s">
        <v>137</v>
      </c>
      <c r="C36" s="70" t="b">
        <f ca="1">OR(TDSelected!C35="LANCOM OAP-310agn Wireless",TDSelected!C10="LANCOM OAP-310agn Wireless")</f>
        <v>0</v>
      </c>
      <c r="D36" s="44"/>
      <c r="E36" s="354" t="str">
        <f>LanguageTable!B41</f>
        <v>Maximum of 100 Mbps netto available.</v>
      </c>
    </row>
    <row r="37" spans="2:5" ht="10.5" x14ac:dyDescent="0.25">
      <c r="C37" s="24"/>
      <c r="D37" s="24"/>
      <c r="E37" s="44"/>
    </row>
    <row r="38" spans="2:5" ht="10.5" x14ac:dyDescent="0.25">
      <c r="B38" s="44" t="s">
        <v>72</v>
      </c>
      <c r="D38" s="24"/>
      <c r="E38" s="44"/>
    </row>
    <row r="39" spans="2:5" ht="10.5" x14ac:dyDescent="0.25">
      <c r="B39" s="1" t="s">
        <v>71</v>
      </c>
      <c r="C39" s="82" t="b">
        <f ca="1">IF(ISERROR(Calculations!D6),FALSE,AND(NOT(C27),NOT(D27),NOT(C3),NOT(D3),NOT(C6),NOT(D6),NOT(C7),NOT(D7)))</f>
        <v>1</v>
      </c>
      <c r="D39" s="24"/>
      <c r="E39" s="121"/>
    </row>
    <row r="40" spans="2:5" ht="10.5" x14ac:dyDescent="0.25">
      <c r="B40" s="1" t="s">
        <v>435</v>
      </c>
      <c r="C40" s="546" t="b">
        <v>1</v>
      </c>
      <c r="D40" s="44"/>
      <c r="E40" s="121" t="s">
        <v>598</v>
      </c>
    </row>
    <row r="41" spans="2:5" x14ac:dyDescent="0.2">
      <c r="B41" s="13" t="s">
        <v>585</v>
      </c>
      <c r="C41" s="72" t="b">
        <f ca="1">IF(TDSelected!D4=7,TRUE,FALSE)</f>
        <v>1</v>
      </c>
    </row>
    <row r="42" spans="2:5" ht="10.5" x14ac:dyDescent="0.25">
      <c r="B42" s="13" t="s">
        <v>671</v>
      </c>
      <c r="C42" s="72" t="b">
        <f ca="1">IF(TDSelected!D4=7,TRUE,FALSE)</f>
        <v>1</v>
      </c>
      <c r="D42" s="44"/>
      <c r="E42" s="44"/>
    </row>
    <row r="43" spans="2:5" s="340" customFormat="1" x14ac:dyDescent="0.2">
      <c r="C43" s="341"/>
      <c r="D43" s="341"/>
      <c r="E43" s="341"/>
    </row>
    <row r="44" spans="2:5" ht="10.5" x14ac:dyDescent="0.25">
      <c r="B44" s="44"/>
      <c r="C44" s="44"/>
      <c r="D44" s="44"/>
    </row>
    <row r="45" spans="2:5" x14ac:dyDescent="0.2">
      <c r="B45" s="24"/>
      <c r="C45" s="24"/>
      <c r="D45" s="24"/>
      <c r="E45" s="24"/>
    </row>
    <row r="46" spans="2:5" x14ac:dyDescent="0.2">
      <c r="B46" s="24"/>
      <c r="C46" s="24"/>
      <c r="D46" s="24"/>
      <c r="E46" s="24"/>
    </row>
    <row r="47" spans="2:5" x14ac:dyDescent="0.2">
      <c r="E47" s="24"/>
    </row>
    <row r="48" spans="2:5" x14ac:dyDescent="0.2">
      <c r="E48" s="24"/>
    </row>
    <row r="49" spans="2:5" x14ac:dyDescent="0.2">
      <c r="E49" s="24"/>
    </row>
    <row r="50" spans="2:5" x14ac:dyDescent="0.2">
      <c r="E50" s="24"/>
    </row>
    <row r="51" spans="2:5" x14ac:dyDescent="0.2">
      <c r="E51" s="24"/>
    </row>
    <row r="52" spans="2:5" x14ac:dyDescent="0.2">
      <c r="E52" s="24"/>
    </row>
    <row r="53" spans="2:5" x14ac:dyDescent="0.2">
      <c r="E53" s="24"/>
    </row>
    <row r="54" spans="2:5" x14ac:dyDescent="0.2">
      <c r="E54" s="24"/>
    </row>
    <row r="55" spans="2:5" x14ac:dyDescent="0.2">
      <c r="E55" s="24"/>
    </row>
    <row r="56" spans="2:5" x14ac:dyDescent="0.2">
      <c r="E56" s="24"/>
    </row>
    <row r="57" spans="2:5" x14ac:dyDescent="0.2">
      <c r="E57" s="24"/>
    </row>
    <row r="58" spans="2:5" x14ac:dyDescent="0.2">
      <c r="E58" s="24"/>
    </row>
    <row r="59" spans="2:5" x14ac:dyDescent="0.2">
      <c r="E59" s="24"/>
    </row>
    <row r="60" spans="2:5" x14ac:dyDescent="0.2">
      <c r="C60" s="24"/>
      <c r="D60" s="24"/>
      <c r="E60" s="24"/>
    </row>
    <row r="61" spans="2:5" ht="10.5" x14ac:dyDescent="0.25">
      <c r="B61" s="44"/>
      <c r="C61" s="24"/>
      <c r="D61" s="24"/>
      <c r="E61" s="24"/>
    </row>
    <row r="62" spans="2:5" x14ac:dyDescent="0.2">
      <c r="E62" s="24"/>
    </row>
    <row r="63" spans="2:5" x14ac:dyDescent="0.2">
      <c r="E63" s="24"/>
    </row>
    <row r="64" spans="2:5" x14ac:dyDescent="0.2">
      <c r="E64" s="24"/>
    </row>
    <row r="65" spans="2:5" x14ac:dyDescent="0.2">
      <c r="E65" s="24"/>
    </row>
    <row r="66" spans="2:5" x14ac:dyDescent="0.2">
      <c r="E66" s="24"/>
    </row>
    <row r="67" spans="2:5" x14ac:dyDescent="0.2">
      <c r="E67" s="24"/>
    </row>
    <row r="68" spans="2:5" x14ac:dyDescent="0.2">
      <c r="E68" s="24"/>
    </row>
    <row r="69" spans="2:5" x14ac:dyDescent="0.2">
      <c r="E69" s="24"/>
    </row>
    <row r="70" spans="2:5" x14ac:dyDescent="0.2">
      <c r="E70" s="24"/>
    </row>
    <row r="71" spans="2:5" x14ac:dyDescent="0.2">
      <c r="E71" s="24"/>
    </row>
    <row r="72" spans="2:5" x14ac:dyDescent="0.2">
      <c r="B72" s="361"/>
      <c r="C72" s="361"/>
      <c r="D72" s="361"/>
      <c r="E72" s="24"/>
    </row>
  </sheetData>
  <mergeCells count="2">
    <mergeCell ref="C4:D4"/>
    <mergeCell ref="C29:D29"/>
  </mergeCells>
  <phoneticPr fontId="2" type="noConversion"/>
  <pageMargins left="0.78740157499999996" right="0.78740157499999996" top="0.984251969" bottom="0.984251969" header="0.4921259845" footer="0.492125984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5"/>
  <dimension ref="A1:AI107"/>
  <sheetViews>
    <sheetView workbookViewId="0">
      <selection activeCell="D2" sqref="D2"/>
    </sheetView>
  </sheetViews>
  <sheetFormatPr baseColWidth="10" defaultColWidth="11.453125" defaultRowHeight="14" x14ac:dyDescent="0.3"/>
  <cols>
    <col min="1" max="1" width="26.1796875" style="163" bestFit="1" customWidth="1"/>
    <col min="2" max="2" width="35.1796875" style="163" bestFit="1" customWidth="1"/>
    <col min="3" max="3" width="13.1796875" style="165" bestFit="1" customWidth="1"/>
    <col min="4" max="4" width="15.1796875" style="163" bestFit="1" customWidth="1"/>
    <col min="5" max="5" width="32.81640625" style="163" bestFit="1" customWidth="1"/>
    <col min="6" max="6" width="11.453125" style="163"/>
    <col min="7" max="7" width="30.26953125" style="163" bestFit="1" customWidth="1"/>
    <col min="8" max="8" width="13.1796875" style="163" bestFit="1" customWidth="1"/>
    <col min="9" max="9" width="15.1796875" style="163" bestFit="1" customWidth="1"/>
    <col min="10" max="10" width="27.81640625" style="163" bestFit="1" customWidth="1"/>
    <col min="11" max="11" width="11.453125" style="163"/>
    <col min="12" max="12" width="29.1796875" style="163" bestFit="1" customWidth="1"/>
    <col min="13" max="13" width="13.1796875" style="163" bestFit="1" customWidth="1"/>
    <col min="14" max="14" width="14.81640625" style="163" bestFit="1" customWidth="1"/>
    <col min="15" max="15" width="29.1796875" style="163" bestFit="1" customWidth="1"/>
    <col min="16" max="16" width="14" style="215" customWidth="1"/>
    <col min="17" max="17" width="27.1796875" style="163" bestFit="1" customWidth="1"/>
    <col min="18" max="18" width="13.1796875" style="163" bestFit="1" customWidth="1"/>
    <col min="19" max="19" width="15.1796875" style="163" bestFit="1" customWidth="1"/>
    <col min="20" max="20" width="27.1796875" style="163" bestFit="1" customWidth="1"/>
    <col min="21" max="21" width="3.453125" style="163" customWidth="1"/>
    <col min="22" max="22" width="34.81640625" style="163" bestFit="1" customWidth="1"/>
    <col min="23" max="23" width="13.1796875" style="163" bestFit="1" customWidth="1"/>
    <col min="24" max="24" width="15.1796875" style="163" bestFit="1" customWidth="1"/>
    <col min="25" max="25" width="27.26953125" style="163" customWidth="1"/>
    <col min="26" max="26" width="3.26953125" style="163" customWidth="1"/>
    <col min="27" max="27" width="38" style="163" bestFit="1" customWidth="1"/>
    <col min="28" max="28" width="13.1796875" style="163" bestFit="1" customWidth="1"/>
    <col min="29" max="29" width="15.1796875" style="163" bestFit="1" customWidth="1"/>
    <col min="30" max="30" width="26.453125" style="163" bestFit="1" customWidth="1"/>
    <col min="31" max="31" width="11.453125" style="163"/>
    <col min="32" max="32" width="26.54296875" style="163" customWidth="1"/>
    <col min="33" max="33" width="13" style="163" customWidth="1"/>
    <col min="34" max="34" width="11.453125" style="163"/>
    <col min="35" max="35" width="26.453125" style="163" bestFit="1" customWidth="1"/>
    <col min="36" max="16384" width="11.453125" style="163"/>
  </cols>
  <sheetData>
    <row r="1" spans="1:35" x14ac:dyDescent="0.3">
      <c r="Q1" s="215"/>
    </row>
    <row r="2" spans="1:35" x14ac:dyDescent="0.3">
      <c r="B2" s="171" t="s">
        <v>228</v>
      </c>
      <c r="C2" s="172">
        <f>COUNTA(B7:B107)</f>
        <v>12</v>
      </c>
      <c r="G2" s="171" t="s">
        <v>234</v>
      </c>
      <c r="H2" s="193">
        <f>COUNTA(G7:G40)</f>
        <v>14</v>
      </c>
      <c r="L2" s="171" t="s">
        <v>237</v>
      </c>
      <c r="M2" s="193">
        <f>COUNTA(L7:L46)</f>
        <v>18</v>
      </c>
      <c r="Q2" s="171" t="s">
        <v>239</v>
      </c>
      <c r="R2" s="193">
        <f>COUNTA(Q7:Q16)</f>
        <v>3</v>
      </c>
      <c r="V2" s="171" t="s">
        <v>245</v>
      </c>
      <c r="W2" s="193">
        <f>COUNTA(V7:V46)</f>
        <v>24</v>
      </c>
      <c r="AA2" s="171" t="s">
        <v>247</v>
      </c>
      <c r="AB2" s="193">
        <f>COUNTA(AA7:AA46)</f>
        <v>7</v>
      </c>
      <c r="AF2" s="171" t="s">
        <v>237</v>
      </c>
      <c r="AG2" s="193">
        <f>M2</f>
        <v>18</v>
      </c>
    </row>
    <row r="3" spans="1:35" x14ac:dyDescent="0.3">
      <c r="C3" s="163"/>
      <c r="Q3" s="215"/>
    </row>
    <row r="4" spans="1:35" x14ac:dyDescent="0.3">
      <c r="A4" s="171" t="s">
        <v>230</v>
      </c>
      <c r="B4" s="180" t="str">
        <f>"B7:B"&amp;(6+C2)</f>
        <v>B7:B18</v>
      </c>
      <c r="C4" s="179" t="str">
        <f>"C7:C"&amp;(6+C2)</f>
        <v>C7:C18</v>
      </c>
      <c r="E4" s="180" t="str">
        <f>"ProductTable!E7:E"&amp;(6+C2)</f>
        <v>ProductTable!E7:E18</v>
      </c>
      <c r="G4" s="180" t="str">
        <f>"G7:G"&amp;(6+H2)</f>
        <v>G7:G20</v>
      </c>
      <c r="H4" s="180" t="str">
        <f>"H7:H"&amp;(6+H2)</f>
        <v>H7:H20</v>
      </c>
      <c r="J4" s="180" t="str">
        <f>"ProductTable!J7:J"&amp;(6+H2)</f>
        <v>ProductTable!J7:J20</v>
      </c>
      <c r="L4" s="180" t="str">
        <f>"L7:L"&amp;(6+M2)</f>
        <v>L7:L24</v>
      </c>
      <c r="M4" s="180" t="str">
        <f>"M7:M"&amp;(6+M2)</f>
        <v>M7:M24</v>
      </c>
      <c r="O4" s="180" t="str">
        <f>"ProductTable!O7:O"&amp;6+M2</f>
        <v>ProductTable!O7:O24</v>
      </c>
      <c r="Q4" s="180" t="str">
        <f>"Q7:Q"&amp;(6+R2)</f>
        <v>Q7:Q9</v>
      </c>
      <c r="R4" s="180" t="str">
        <f>"R7:R"&amp;(6+R2)</f>
        <v>R7:R9</v>
      </c>
      <c r="V4" s="180" t="str">
        <f>"V7:V"&amp;(6+W2)</f>
        <v>V7:V30</v>
      </c>
      <c r="W4" s="180" t="str">
        <f>"W7:W"&amp;(6+W2)</f>
        <v>W7:W30</v>
      </c>
      <c r="Y4" s="180" t="str">
        <f>"ProductTable!Y7:Y"&amp;(6+W2)</f>
        <v>ProductTable!Y7:Y30</v>
      </c>
      <c r="AA4" s="180" t="str">
        <f>"ProductTable!AA7:AA"&amp;(6+AB2)</f>
        <v>ProductTable!AA7:AA13</v>
      </c>
      <c r="AB4" s="180" t="str">
        <f>"AB7:AB"&amp;(6+AB2)</f>
        <v>AB7:AB13</v>
      </c>
      <c r="AD4" s="180" t="str">
        <f>"ProductTable!AD7:AD"&amp;(6+AB2)</f>
        <v>ProductTable!AD7:AD13</v>
      </c>
      <c r="AF4" s="218" t="str">
        <f>"AF7:AF"&amp;(6+AG2)</f>
        <v>AF7:AF24</v>
      </c>
      <c r="AG4" s="193" t="str">
        <f>"AG7:AG"&amp;(6+AG2)</f>
        <v>AG7:AG24</v>
      </c>
      <c r="AI4" s="180" t="str">
        <f>"ProductTable!AI7:AI"&amp;(6+AG2)</f>
        <v>ProductTable!AI7:AI24</v>
      </c>
    </row>
    <row r="5" spans="1:35" x14ac:dyDescent="0.3">
      <c r="C5" s="164"/>
      <c r="Q5" s="215"/>
      <c r="V5" s="237" t="s">
        <v>290</v>
      </c>
      <c r="W5" s="236"/>
      <c r="AA5" s="237" t="s">
        <v>290</v>
      </c>
    </row>
    <row r="6" spans="1:35" x14ac:dyDescent="0.3">
      <c r="A6" s="165" t="s">
        <v>495</v>
      </c>
      <c r="B6" s="163" t="s">
        <v>229</v>
      </c>
      <c r="C6" s="165" t="s">
        <v>227</v>
      </c>
      <c r="D6" s="163" t="s">
        <v>231</v>
      </c>
      <c r="E6" s="163" t="s">
        <v>232</v>
      </c>
      <c r="G6" s="163" t="s">
        <v>233</v>
      </c>
      <c r="H6" s="163" t="s">
        <v>227</v>
      </c>
      <c r="I6" s="163" t="s">
        <v>231</v>
      </c>
      <c r="J6" s="163" t="s">
        <v>235</v>
      </c>
      <c r="L6" s="163" t="s">
        <v>286</v>
      </c>
      <c r="M6" s="163" t="s">
        <v>227</v>
      </c>
      <c r="N6" s="163" t="s">
        <v>231</v>
      </c>
      <c r="O6" s="163" t="s">
        <v>238</v>
      </c>
      <c r="P6" s="216"/>
      <c r="Q6" s="215" t="s">
        <v>244</v>
      </c>
      <c r="R6" s="163" t="s">
        <v>227</v>
      </c>
      <c r="S6" s="163" t="s">
        <v>231</v>
      </c>
      <c r="T6" s="163" t="s">
        <v>243</v>
      </c>
      <c r="V6" s="163" t="s">
        <v>23</v>
      </c>
      <c r="W6" s="163" t="s">
        <v>227</v>
      </c>
      <c r="X6" s="163" t="s">
        <v>231</v>
      </c>
      <c r="Y6" s="163" t="s">
        <v>246</v>
      </c>
      <c r="AA6" s="163" t="s">
        <v>248</v>
      </c>
      <c r="AB6" s="163" t="s">
        <v>227</v>
      </c>
      <c r="AC6" s="163" t="s">
        <v>231</v>
      </c>
      <c r="AD6" s="163" t="s">
        <v>249</v>
      </c>
      <c r="AF6" s="163" t="s">
        <v>282</v>
      </c>
      <c r="AG6" s="163" t="s">
        <v>283</v>
      </c>
      <c r="AH6" s="163" t="s">
        <v>139</v>
      </c>
      <c r="AI6" s="219" t="s">
        <v>284</v>
      </c>
    </row>
    <row r="7" spans="1:35" x14ac:dyDescent="0.3">
      <c r="B7" s="166" t="s">
        <v>674</v>
      </c>
      <c r="C7" s="173" t="b">
        <v>1</v>
      </c>
      <c r="D7" s="176">
        <f ca="1">MATCH(TRUE,INDIRECT(C4),0)</f>
        <v>1</v>
      </c>
      <c r="E7" s="176" t="str">
        <f ca="1">IF(ISERROR(D7),"",INDEX(INDIRECT(B4),D7))</f>
        <v>LANCOM OAP-1702B</v>
      </c>
      <c r="F7" s="163">
        <v>1</v>
      </c>
      <c r="G7" s="186" t="str">
        <f>LanguageTable!B2</f>
        <v>Default antenna</v>
      </c>
      <c r="H7" s="187" t="b">
        <v>1</v>
      </c>
      <c r="I7" s="190">
        <f ca="1">MATCH(TRUE,INDIRECT(H4),0)</f>
        <v>1</v>
      </c>
      <c r="J7" s="176" t="str">
        <f ca="1">IF(ISERROR($I7),"",INDEX(INDIRECT($G$4),SUM($I$7:$I7)))</f>
        <v>Default antenna</v>
      </c>
      <c r="L7" s="186" t="str">
        <f>LanguageTable!B4</f>
        <v>No cable</v>
      </c>
      <c r="M7" s="187" t="b">
        <v>1</v>
      </c>
      <c r="N7" s="176">
        <f ca="1">MATCH(TRUE,INDIRECT(M4),0)</f>
        <v>1</v>
      </c>
      <c r="O7" s="176" t="str">
        <f ca="1">IF(ISERROR($N7),"",INDEX(INDIRECT($L$4),SUM($N$7:$N7)))</f>
        <v>No cable</v>
      </c>
      <c r="P7" s="217"/>
      <c r="Q7" s="186" t="str">
        <f>LanguageTable!B6</f>
        <v>No surge arrestor</v>
      </c>
      <c r="R7" s="187" t="b">
        <v>1</v>
      </c>
      <c r="S7" s="176">
        <f ca="1">MATCH(TRUE,INDIRECT(R4),0)</f>
        <v>1</v>
      </c>
      <c r="T7" s="176" t="str">
        <f ca="1">IF(ISERROR($S7),"",INDEX(INDIRECT($Q$4),SUM($S$7:$S7)))</f>
        <v>No surge arrestor</v>
      </c>
      <c r="V7" s="186" t="str">
        <f>LanguageTable!B7</f>
        <v>Standard module</v>
      </c>
      <c r="W7" s="173" t="b">
        <v>1</v>
      </c>
      <c r="X7" s="190">
        <f ca="1">MATCH(TRUE,INDIRECT(W4),0)</f>
        <v>1</v>
      </c>
      <c r="Y7" s="176" t="str">
        <f ca="1">IF(ISERROR($X7),"",INDEX(INDIRECT($V$4),SUM($X$7:$X7)))</f>
        <v>Standard module</v>
      </c>
      <c r="AA7" s="166" t="s">
        <v>24</v>
      </c>
      <c r="AB7" s="187" t="b">
        <v>1</v>
      </c>
      <c r="AC7" s="190">
        <f ca="1">MATCH(TRUE,INDIRECT(AB4),0)</f>
        <v>1</v>
      </c>
      <c r="AD7" s="176" t="str">
        <f ca="1">IF(ISERROR($AC7),"",INDEX(INDIRECT($AA$4),SUM($AC$7:$AC7)))</f>
        <v>802.11b/g (2,4 GHz)</v>
      </c>
      <c r="AF7" s="176" t="str">
        <f ca="1">O7</f>
        <v>No cable</v>
      </c>
      <c r="AG7" s="187" t="b">
        <v>1</v>
      </c>
      <c r="AH7" s="190">
        <f ca="1">MATCH(TRUE,INDIRECT(AG4),0)</f>
        <v>1</v>
      </c>
      <c r="AI7" s="177" t="str">
        <f ca="1">IF(ISERROR($AH7),"",INDEX(INDIRECT($AF$4),SUM($AH$7:$AH7)))</f>
        <v>No cable</v>
      </c>
    </row>
    <row r="8" spans="1:35" x14ac:dyDescent="0.3">
      <c r="B8" s="167" t="s">
        <v>678</v>
      </c>
      <c r="C8" s="174" t="b">
        <v>1</v>
      </c>
      <c r="D8" s="177">
        <f ca="1">MATCH(TRUE,OFFSET(INDIRECT($C$4),SUM($D$7:$D7),0,$C$2-SUM($D$7:$D7)),0)</f>
        <v>1</v>
      </c>
      <c r="E8" s="177" t="str">
        <f ca="1">IF(ISERROR($D8),"",INDEX(INDIRECT($B$4),SUM($D$7:$D8)))</f>
        <v>LANCOM OAP-1700B</v>
      </c>
      <c r="F8" s="163">
        <f>F7+1</f>
        <v>2</v>
      </c>
      <c r="G8" s="186" t="str">
        <f>LanguageTable!$B$3</f>
        <v>Other antenna</v>
      </c>
      <c r="H8" s="188" t="b">
        <v>1</v>
      </c>
      <c r="I8" s="191">
        <f ca="1">MATCH(TRUE,OFFSET(INDIRECT($H$4),SUM($I$7:$I7),0,$H$2-SUM($I$7:$I7)),0)</f>
        <v>1</v>
      </c>
      <c r="J8" s="177" t="str">
        <f ca="1">IF(ISERROR($I8),"",INDEX(INDIRECT($G$4),SUM($I$7:$I8)))</f>
        <v>Other antenna</v>
      </c>
      <c r="L8" s="169" t="s">
        <v>13</v>
      </c>
      <c r="M8" s="188" t="b">
        <v>1</v>
      </c>
      <c r="N8" s="177">
        <f ca="1">MATCH(TRUE,OFFSET(INDIRECT($M$4),SUM($N$7:$N7),0,$M$2-SUM($N$7:$N7)),0)</f>
        <v>1</v>
      </c>
      <c r="O8" s="177" t="str">
        <f ca="1">IF(ISERROR($N8),"",INDEX(INDIRECT($L$4),SUM($N$7:$N8)))</f>
        <v>AirLancer Cable NJ-NP 3m</v>
      </c>
      <c r="P8" s="217"/>
      <c r="Q8" s="169" t="s">
        <v>240</v>
      </c>
      <c r="R8" s="188" t="b">
        <v>0</v>
      </c>
      <c r="S8" s="177">
        <f ca="1">MATCH(TRUE,OFFSET(INDIRECT($R$4),SUM($S$7:$S7),0,$R$2-SUM($S$7:$S7)),0)</f>
        <v>2</v>
      </c>
      <c r="T8" s="177" t="str">
        <f ca="1">IF(ISERROR($S8),"",INDEX(INDIRECT($Q$4),SUM($S$7:$S8)))</f>
        <v>AirLancer SN-ANT</v>
      </c>
      <c r="V8" s="196" t="s">
        <v>144</v>
      </c>
      <c r="W8" s="174" t="b">
        <v>1</v>
      </c>
      <c r="X8" s="191">
        <f ca="1">MATCH(TRUE,OFFSET(INDIRECT($W$4),SUM($X$7:$X7),0,$W$2-SUM($X$7:$X7)),0)</f>
        <v>1</v>
      </c>
      <c r="Y8" s="177" t="str">
        <f ca="1">IF(ISERROR($X8),"",INDEX(INDIRECT($V$4),SUM($X$7:$X8)))</f>
        <v>AR5414 (XAC/XAP/OAP)</v>
      </c>
      <c r="AA8" s="168" t="s">
        <v>26</v>
      </c>
      <c r="AB8" s="188" t="b">
        <v>1</v>
      </c>
      <c r="AC8" s="191">
        <f ca="1">MATCH(TRUE,OFFSET(INDIRECT($AB$4),SUM($AC$7:$AC7),0,$AB$2-SUM($AC$7:$AC7)),0)</f>
        <v>1</v>
      </c>
      <c r="AD8" s="177" t="str">
        <f ca="1">IF(ISERROR($AC8),"",INDEX(INDIRECT($AA$4),SUM($AC$7:$AC8)))</f>
        <v>802.11a (5 GHz)</v>
      </c>
      <c r="AF8" s="177" t="str">
        <f t="shared" ref="AF8:AF46" ca="1" si="0">O8</f>
        <v>AirLancer Cable NJ-NP 3m</v>
      </c>
      <c r="AG8" s="188" t="b">
        <v>1</v>
      </c>
      <c r="AH8" s="191">
        <f ca="1">MATCH(TRUE,OFFSET(INDIRECT($AG$4),SUM($AH$7:$AH7),0,$AG$2-SUM($AH$7:$AH7)),0)</f>
        <v>1</v>
      </c>
      <c r="AI8" s="177" t="str">
        <f ca="1">IF(ISERROR($AH8),"",INDEX(INDIRECT($AF$4),SUM($AH$7:$AH8)))</f>
        <v>AirLancer Cable NJ-NP 3m</v>
      </c>
    </row>
    <row r="9" spans="1:35" x14ac:dyDescent="0.3">
      <c r="B9" s="167" t="s">
        <v>502</v>
      </c>
      <c r="C9" s="174" t="b">
        <v>1</v>
      </c>
      <c r="D9" s="177">
        <f ca="1">MATCH(TRUE,OFFSET(INDIRECT($C$4),SUM($D$7:$D8),0,$C$2-SUM($D$7:$D8)),0)</f>
        <v>1</v>
      </c>
      <c r="E9" s="177" t="str">
        <f ca="1">IF(ISERROR($D9),"",INDEX(INDIRECT($B$4),SUM($D$7:$D9)))</f>
        <v>LANCOM OAP-822</v>
      </c>
      <c r="F9" s="163">
        <f t="shared" ref="F9:F46" si="1">F8+1</f>
        <v>3</v>
      </c>
      <c r="G9" s="462" t="s">
        <v>676</v>
      </c>
      <c r="H9" s="188" t="b">
        <v>1</v>
      </c>
      <c r="I9" s="191">
        <f ca="1">MATCH(TRUE,OFFSET(INDIRECT($H$4),SUM($I$7:$I8),0,$H$2-SUM($I$7:$I8)),0)</f>
        <v>1</v>
      </c>
      <c r="J9" s="177" t="str">
        <f ca="1">IF(ISERROR($I9),"",INDEX(INDIRECT($G$4),SUM($I$7:$I9)))</f>
        <v>AirLancer O-9a</v>
      </c>
      <c r="L9" s="169" t="s">
        <v>14</v>
      </c>
      <c r="M9" s="188" t="b">
        <v>1</v>
      </c>
      <c r="N9" s="177">
        <f ca="1">MATCH(TRUE,OFFSET(INDIRECT($M$4),SUM($N$7:$N8),0,$M$2-SUM($N$7:$N8)),0)</f>
        <v>1</v>
      </c>
      <c r="O9" s="177" t="str">
        <f ca="1">IF(ISERROR($N9),"",INDEX(INDIRECT($L$4),SUM($N$7:$N9)))</f>
        <v>AirLancer Cable NJ-NP 6m</v>
      </c>
      <c r="P9" s="217"/>
      <c r="Q9" s="169" t="s">
        <v>602</v>
      </c>
      <c r="R9" s="188" t="b">
        <v>1</v>
      </c>
      <c r="S9" s="177" t="e">
        <f ca="1">MATCH(TRUE,OFFSET(INDIRECT($R$4),SUM($S$7:$S8),0,$R$2-SUM($S$7:$S8)),0)</f>
        <v>#REF!</v>
      </c>
      <c r="T9" s="177" t="str">
        <f ca="1">IF(ISERROR($S9),"",INDEX(INDIRECT($Q$4),SUM($S$7:$S9)))</f>
        <v/>
      </c>
      <c r="V9" s="196" t="s">
        <v>102</v>
      </c>
      <c r="W9" s="174" t="b">
        <v>1</v>
      </c>
      <c r="X9" s="191">
        <f ca="1">MATCH(TRUE,OFFSET(INDIRECT($W$4),SUM($X$7:$X8),0,$W$2-SUM($X$7:$X8)),0)</f>
        <v>1</v>
      </c>
      <c r="Y9" s="177" t="str">
        <f ca="1">IF(ISERROR($X9),"",INDEX(INDIRECT($V$4),SUM($X$7:$X9)))</f>
        <v>AR5212/AR5112</v>
      </c>
      <c r="AA9" s="167" t="s">
        <v>114</v>
      </c>
      <c r="AB9" s="188" t="b">
        <v>1</v>
      </c>
      <c r="AC9" s="191">
        <f ca="1">MATCH(TRUE,OFFSET(INDIRECT($AB$4),SUM($AC$7:$AC8),0,$AB$2-SUM($AC$7:$AC8)),0)</f>
        <v>1</v>
      </c>
      <c r="AD9" s="177" t="str">
        <f ca="1">IF(ISERROR($AC9),"",INDEX(INDIRECT($AA$4),SUM($AC$7:$AC9)))</f>
        <v>802.11g/n (2,4 GHz)</v>
      </c>
      <c r="AF9" s="177" t="str">
        <f t="shared" ca="1" si="0"/>
        <v>AirLancer Cable NJ-NP 6m</v>
      </c>
      <c r="AG9" s="188" t="b">
        <v>1</v>
      </c>
      <c r="AH9" s="191">
        <f ca="1">MATCH(TRUE,OFFSET(INDIRECT($AG$4),SUM($AH$7:$AH8),0,$AG$2-SUM($AH$7:$AH8)),0)</f>
        <v>1</v>
      </c>
      <c r="AI9" s="177" t="str">
        <f ca="1">IF(ISERROR($AH9),"",INDEX(INDIRECT($AF$4),SUM($AH$7:$AH9)))</f>
        <v>AirLancer Cable NJ-NP 6m</v>
      </c>
    </row>
    <row r="10" spans="1:35" x14ac:dyDescent="0.3">
      <c r="B10" s="167" t="s">
        <v>501</v>
      </c>
      <c r="C10" s="174" t="b">
        <v>1</v>
      </c>
      <c r="D10" s="177">
        <f ca="1">MATCH(TRUE,OFFSET(INDIRECT($C$4),SUM($D$7:$D9),0,$C$2-SUM($D$7:$D9)),0)</f>
        <v>1</v>
      </c>
      <c r="E10" s="177" t="str">
        <f ca="1">IF(ISERROR($D10),"",INDEX(INDIRECT($B$4),SUM($D$7:$D10)))</f>
        <v>LANCOM OAP-821</v>
      </c>
      <c r="F10" s="163">
        <f t="shared" si="1"/>
        <v>4</v>
      </c>
      <c r="G10" s="462" t="s">
        <v>687</v>
      </c>
      <c r="H10" s="188" t="b">
        <v>1</v>
      </c>
      <c r="I10" s="191">
        <f ca="1">MATCH(TRUE,OFFSET(INDIRECT($H$4),SUM($I$7:$I9),0,$H$2-SUM($I$7:$I9)),0)</f>
        <v>1</v>
      </c>
      <c r="J10" s="177" t="str">
        <f ca="1">IF(ISERROR($I10),"",INDEX(INDIRECT($G$4),SUM($I$7:$I10)))</f>
        <v>AirLancer ON-D9a</v>
      </c>
      <c r="L10" s="169" t="s">
        <v>15</v>
      </c>
      <c r="M10" s="188" t="b">
        <v>1</v>
      </c>
      <c r="N10" s="177">
        <f ca="1">MATCH(TRUE,OFFSET(INDIRECT($M$4),SUM($N$7:$N9),0,$M$2-SUM($N$7:$N9)),0)</f>
        <v>1</v>
      </c>
      <c r="O10" s="177" t="str">
        <f ca="1">IF(ISERROR($N10),"",INDEX(INDIRECT($L$4),SUM($N$7:$N10)))</f>
        <v>AirLancer Cable NJ-NP 9m</v>
      </c>
      <c r="P10" s="217"/>
      <c r="Q10" s="169"/>
      <c r="R10" s="188" t="b">
        <v>0</v>
      </c>
      <c r="S10" s="177" t="e">
        <f ca="1">MATCH(TRUE,OFFSET(INDIRECT($R$4),SUM($S$7:$S9),0,$R$2-SUM($S$7:$S9)),0)</f>
        <v>#REF!</v>
      </c>
      <c r="T10" s="177" t="str">
        <f ca="1">IF(ISERROR($S10),"",INDEX(INDIRECT($Q$4),SUM($S$7:$S10)))</f>
        <v/>
      </c>
      <c r="V10" s="196" t="s">
        <v>104</v>
      </c>
      <c r="W10" s="174" t="b">
        <v>1</v>
      </c>
      <c r="X10" s="191">
        <f ca="1">MATCH(TRUE,OFFSET(INDIRECT($W$4),SUM($X$7:$X9),0,$W$2-SUM($X$7:$X9)),0)</f>
        <v>1</v>
      </c>
      <c r="Y10" s="177" t="str">
        <f ca="1">IF(ISERROR($X10),"",INDEX(INDIRECT($V$4),SUM($X$7:$X10)))</f>
        <v>AR5212/AR5111/AR2111</v>
      </c>
      <c r="AA10" s="167" t="s">
        <v>115</v>
      </c>
      <c r="AB10" s="188" t="b">
        <v>1</v>
      </c>
      <c r="AC10" s="191">
        <f ca="1">MATCH(TRUE,OFFSET(INDIRECT($AB$4),SUM($AC$7:$AC9),0,$AB$2-SUM($AC$7:$AC9)),0)</f>
        <v>1</v>
      </c>
      <c r="AD10" s="177" t="str">
        <f ca="1">IF(ISERROR($AC10),"",INDEX(INDIRECT($AA$4),SUM($AC$7:$AC10)))</f>
        <v>802.11a/n (5 GHz)</v>
      </c>
      <c r="AF10" s="177" t="str">
        <f t="shared" ca="1" si="0"/>
        <v>AirLancer Cable NJ-NP 9m</v>
      </c>
      <c r="AG10" s="188" t="b">
        <v>1</v>
      </c>
      <c r="AH10" s="191">
        <f ca="1">MATCH(TRUE,OFFSET(INDIRECT($AG$4),SUM($AH$7:$AH9),0,$AG$2-SUM($AH$7:$AH9)),0)</f>
        <v>1</v>
      </c>
      <c r="AI10" s="177" t="str">
        <f ca="1">IF(ISERROR($AH10),"",INDEX(INDIRECT($AF$4),SUM($AH$7:$AH10)))</f>
        <v>AirLancer Cable NJ-NP 9m</v>
      </c>
    </row>
    <row r="11" spans="1:35" x14ac:dyDescent="0.3">
      <c r="B11" s="168" t="s">
        <v>503</v>
      </c>
      <c r="C11" s="174" t="b">
        <v>1</v>
      </c>
      <c r="D11" s="177">
        <f ca="1">MATCH(TRUE,OFFSET(INDIRECT($C$4),SUM($D$7:$D10),0,$C$2-SUM($D$7:$D10)),0)</f>
        <v>1</v>
      </c>
      <c r="E11" s="177" t="str">
        <f ca="1">IF(ISERROR($D11),"",INDEX(INDIRECT($B$4),SUM($D$7:$D11)))</f>
        <v>LANCOM OAP-830</v>
      </c>
      <c r="F11" s="163">
        <f t="shared" si="1"/>
        <v>5</v>
      </c>
      <c r="G11" s="462" t="s">
        <v>679</v>
      </c>
      <c r="H11" s="188" t="b">
        <v>1</v>
      </c>
      <c r="I11" s="191">
        <f ca="1">MATCH(TRUE,OFFSET(INDIRECT($H$4),SUM($I$7:$I10),0,$H$2-SUM($I$7:$I10)),0)</f>
        <v>1</v>
      </c>
      <c r="J11" s="177" t="str">
        <f ca="1">IF(ISERROR($I11),"",INDEX(INDIRECT($G$4),SUM($I$7:$I11)))</f>
        <v>AirLancer ON-360ag</v>
      </c>
      <c r="L11" s="168" t="s">
        <v>16</v>
      </c>
      <c r="M11" s="188" t="b">
        <v>1</v>
      </c>
      <c r="N11" s="177">
        <f ca="1">MATCH(TRUE,OFFSET(INDIRECT($M$4),SUM($N$7:$N10),0,$M$2-SUM($N$7:$N10)),0)</f>
        <v>1</v>
      </c>
      <c r="O11" s="177" t="str">
        <f ca="1">IF(ISERROR($N11),"",INDEX(INDIRECT($L$4),SUM($N$7:$N11)))</f>
        <v>O-30-Cable 9m</v>
      </c>
      <c r="P11" s="217"/>
      <c r="Q11" s="169"/>
      <c r="R11" s="188" t="b">
        <v>0</v>
      </c>
      <c r="S11" s="177" t="e">
        <f ca="1">MATCH(TRUE,OFFSET(INDIRECT($R$4),SUM($S$7:$S10),0,$R$2-SUM($S$7:$S10)),0)</f>
        <v>#REF!</v>
      </c>
      <c r="T11" s="177" t="str">
        <f ca="1">IF(ISERROR($S11),"",INDEX(INDIRECT($Q$4),SUM($S$7:$S11)))</f>
        <v/>
      </c>
      <c r="V11" s="196" t="s">
        <v>103</v>
      </c>
      <c r="W11" s="174" t="b">
        <v>1</v>
      </c>
      <c r="X11" s="191">
        <f ca="1">MATCH(TRUE,OFFSET(INDIRECT($W$4),SUM($X$7:$X10),0,$W$2-SUM($X$7:$X10)),0)</f>
        <v>1</v>
      </c>
      <c r="Y11" s="177" t="str">
        <f ca="1">IF(ISERROR($X11),"",INDEX(INDIRECT($V$4),SUM($X$7:$X11)))</f>
        <v>AR5213/AR5112</v>
      </c>
      <c r="AA11" s="167" t="s">
        <v>219</v>
      </c>
      <c r="AB11" s="188" t="b">
        <v>0</v>
      </c>
      <c r="AC11" s="191">
        <f ca="1">MATCH(TRUE,OFFSET(INDIRECT($AB$4),SUM($AC$7:$AC10),0,$AB$2-SUM($AC$7:$AC10)),0)</f>
        <v>3</v>
      </c>
      <c r="AD11" s="177" t="str">
        <f ca="1">IF(ISERROR($AC11),"",INDEX(INDIRECT($AA$4),SUM($AC$7:$AC11)))</f>
        <v>802.11ac (5 GHz)</v>
      </c>
      <c r="AF11" s="177" t="str">
        <f t="shared" ca="1" si="0"/>
        <v>O-30-Cable 9m</v>
      </c>
      <c r="AG11" s="188" t="b">
        <v>0</v>
      </c>
      <c r="AH11" s="191">
        <f ca="1">MATCH(TRUE,OFFSET(INDIRECT($AG$4),SUM($AH$7:$AH10),0,$AG$2-SUM($AH$7:$AH10)),0)</f>
        <v>5</v>
      </c>
      <c r="AI11" s="177" t="str">
        <f ca="1">IF(ISERROR($AH11),"",INDEX(INDIRECT($AF$4),SUM($AH$7:$AH11)))</f>
        <v>Other cable</v>
      </c>
    </row>
    <row r="12" spans="1:35" x14ac:dyDescent="0.3">
      <c r="B12" s="462" t="s">
        <v>677</v>
      </c>
      <c r="C12" s="174" t="b">
        <v>1</v>
      </c>
      <c r="D12" s="177">
        <f ca="1">MATCH(TRUE,OFFSET(INDIRECT($C$4),SUM($D$7:$D11),0,$C$2-SUM($D$7:$D11)),0)</f>
        <v>1</v>
      </c>
      <c r="E12" s="177" t="str">
        <f ca="1">IF(ISERROR($D12),"",INDEX(INDIRECT($B$4),SUM($D$7:$D12)))</f>
        <v>LANCOM LN-1702B</v>
      </c>
      <c r="F12" s="163">
        <f t="shared" si="1"/>
        <v>6</v>
      </c>
      <c r="G12" s="462" t="s">
        <v>600</v>
      </c>
      <c r="H12" s="188" t="b">
        <v>1</v>
      </c>
      <c r="I12" s="191">
        <f ca="1">MATCH(TRUE,OFFSET(INDIRECT($H$4),SUM($I$7:$I11),0,$H$2-SUM($I$7:$I11)),0)</f>
        <v>1</v>
      </c>
      <c r="J12" s="177" t="str">
        <f ca="1">IF(ISERROR($I12),"",INDEX(INDIRECT($G$4),SUM($I$7:$I12)))</f>
        <v>AirLancer ON-T60ag</v>
      </c>
      <c r="L12" s="168" t="s">
        <v>17</v>
      </c>
      <c r="M12" s="188" t="b">
        <v>1</v>
      </c>
      <c r="N12" s="177">
        <f ca="1">MATCH(TRUE,OFFSET(INDIRECT($M$4),SUM($N$7:$N11),0,$M$2-SUM($N$7:$N11)),0)</f>
        <v>1</v>
      </c>
      <c r="O12" s="177" t="str">
        <f ca="1">IF(ISERROR($N12),"",INDEX(INDIRECT($L$4),SUM($N$7:$N12)))</f>
        <v>O-70-Cable 6m</v>
      </c>
      <c r="P12" s="217"/>
      <c r="Q12" s="169"/>
      <c r="R12" s="188" t="b">
        <v>0</v>
      </c>
      <c r="S12" s="177" t="e">
        <f ca="1">MATCH(TRUE,OFFSET(INDIRECT($R$4),SUM($S$7:$S11),0,$R$2-SUM($S$7:$S11)),0)</f>
        <v>#REF!</v>
      </c>
      <c r="T12" s="177" t="str">
        <f ca="1">IF(ISERROR($S12),"",INDEX(INDIRECT($Q$4),SUM($S$7:$S12)))</f>
        <v/>
      </c>
      <c r="V12" s="196" t="s">
        <v>101</v>
      </c>
      <c r="W12" s="174" t="b">
        <v>1</v>
      </c>
      <c r="X12" s="191">
        <f ca="1">MATCH(TRUE,OFFSET(INDIRECT($W$4),SUM($X$7:$X11),0,$W$2-SUM($X$7:$X11)),0)</f>
        <v>1</v>
      </c>
      <c r="Y12" s="177" t="str">
        <f ca="1">IF(ISERROR($X12),"",INDEX(INDIRECT($V$4),SUM($X$7:$X12)))</f>
        <v>AR5414</v>
      </c>
      <c r="AA12" s="167" t="s">
        <v>220</v>
      </c>
      <c r="AB12" s="188" t="b">
        <v>0</v>
      </c>
      <c r="AC12" s="191" t="e">
        <f ca="1">MATCH(TRUE,OFFSET(INDIRECT($AB$4),SUM($AC$7:$AC11),0,$AB$2-SUM($AC$7:$AC11)),0)</f>
        <v>#REF!</v>
      </c>
      <c r="AD12" s="177" t="str">
        <f ca="1">IF(ISERROR($AC12),"",INDEX(INDIRECT($AA$4),SUM($AC$7:$AC12)))</f>
        <v/>
      </c>
      <c r="AF12" s="177" t="str">
        <f t="shared" ca="1" si="0"/>
        <v>O-70-Cable 6m</v>
      </c>
      <c r="AG12" s="188" t="b">
        <v>0</v>
      </c>
      <c r="AH12" s="191">
        <f ca="1">MATCH(TRUE,OFFSET(INDIRECT($AG$4),SUM($AH$7:$AH11),0,$AG$2-SUM($AH$7:$AH11)),0)</f>
        <v>1</v>
      </c>
      <c r="AI12" s="177" t="str">
        <f ca="1">IF(ISERROR($AH12),"",INDEX(INDIRECT($AF$4),SUM($AH$7:$AH12)))</f>
        <v/>
      </c>
    </row>
    <row r="13" spans="1:35" x14ac:dyDescent="0.3">
      <c r="B13" s="463" t="s">
        <v>505</v>
      </c>
      <c r="C13" s="174" t="b">
        <v>1</v>
      </c>
      <c r="D13" s="177">
        <f ca="1">MATCH(TRUE,OFFSET(INDIRECT($C$4),SUM($D$7:$D12),0,$C$2-SUM($D$7:$D12)),0)</f>
        <v>1</v>
      </c>
      <c r="E13" s="177" t="str">
        <f ca="1">IF(ISERROR($D13),"",INDEX(INDIRECT($B$4),SUM($D$7:$D13)))</f>
        <v>LANCOM L-822acn</v>
      </c>
      <c r="F13" s="163">
        <f t="shared" si="1"/>
        <v>7</v>
      </c>
      <c r="G13" s="462" t="s">
        <v>601</v>
      </c>
      <c r="H13" s="188" t="b">
        <v>1</v>
      </c>
      <c r="I13" s="191">
        <f ca="1">MATCH(TRUE,OFFSET(INDIRECT($H$4),SUM($I$7:$I12),0,$H$2-SUM($I$7:$I12)),0)</f>
        <v>1</v>
      </c>
      <c r="J13" s="177" t="str">
        <f ca="1">IF(ISERROR($I13),"",INDEX(INDIRECT($G$4),SUM($I$7:$I13)))</f>
        <v>AirLancer ON-T90ag</v>
      </c>
      <c r="L13" s="168" t="s">
        <v>276</v>
      </c>
      <c r="M13" s="188" t="b">
        <v>1</v>
      </c>
      <c r="N13" s="177">
        <f ca="1">MATCH(TRUE,OFFSET(INDIRECT($M$4),SUM($N$7:$N12),0,$M$2-SUM($N$7:$N12)),0)</f>
        <v>1</v>
      </c>
      <c r="O13" s="177" t="str">
        <f ca="1">IF(ISERROR($N13),"",INDEX(INDIRECT($L$4),SUM($N$7:$N13)))</f>
        <v>O-18a Cable 1m</v>
      </c>
      <c r="P13" s="217"/>
      <c r="Q13" s="169"/>
      <c r="R13" s="188" t="b">
        <v>0</v>
      </c>
      <c r="S13" s="177" t="e">
        <f ca="1">MATCH(TRUE,OFFSET(INDIRECT($R$4),SUM($S$7:$S12),0,$R$2-SUM($S$7:$S12)),0)</f>
        <v>#REF!</v>
      </c>
      <c r="T13" s="177" t="str">
        <f ca="1">IF(ISERROR($S13),"",INDEX(INDIRECT($Q$4),SUM($S$7:$S13)))</f>
        <v/>
      </c>
      <c r="V13" s="196" t="s">
        <v>105</v>
      </c>
      <c r="W13" s="174" t="b">
        <v>1</v>
      </c>
      <c r="X13" s="191">
        <f ca="1">MATCH(TRUE,OFFSET(INDIRECT($W$4),SUM($X$7:$X12),0,$W$2-SUM($X$7:$X12)),0)</f>
        <v>1</v>
      </c>
      <c r="Y13" s="177" t="str">
        <f ca="1">IF(ISERROR($X13),"",INDEX(INDIRECT($V$4),SUM($X$7:$X13)))</f>
        <v>AR5213/AR2112</v>
      </c>
      <c r="AA13" s="196" t="s">
        <v>504</v>
      </c>
      <c r="AB13" s="188" t="b">
        <v>1</v>
      </c>
      <c r="AC13" s="191" t="e">
        <f ca="1">MATCH(TRUE,OFFSET(INDIRECT($AB$4),SUM($AC$7:$AC12),0,$AB$2-SUM($AC$7:$AC12)),0)</f>
        <v>#REF!</v>
      </c>
      <c r="AD13" s="177" t="str">
        <f ca="1">IF(ISERROR($AC13),"",INDEX(INDIRECT($AA$4),SUM($AC$7:$AC13)))</f>
        <v/>
      </c>
      <c r="AF13" s="177" t="str">
        <f t="shared" ca="1" si="0"/>
        <v>O-18a Cable 1m</v>
      </c>
      <c r="AG13" s="188" t="b">
        <v>0</v>
      </c>
      <c r="AH13" s="191" t="e">
        <f ca="1">MATCH(TRUE,OFFSET(INDIRECT($AG$4),SUM($AH$7:$AH12),0,$AG$2-SUM($AH$7:$AH12)),0)</f>
        <v>#N/A</v>
      </c>
      <c r="AI13" s="177" t="str">
        <f ca="1">IF(ISERROR($AH13),"",INDEX(INDIRECT($AF$4),SUM($AH$7:$AH13)))</f>
        <v/>
      </c>
    </row>
    <row r="14" spans="1:35" x14ac:dyDescent="0.3">
      <c r="B14" s="169" t="s">
        <v>605</v>
      </c>
      <c r="C14" s="174" t="b">
        <v>1</v>
      </c>
      <c r="D14" s="177">
        <f ca="1">MATCH(TRUE,OFFSET(INDIRECT($C$4),SUM($D$7:$D13),0,$C$2-SUM($D$7:$D13)),0)</f>
        <v>1</v>
      </c>
      <c r="E14" s="177" t="str">
        <f ca="1">IF(ISERROR($D14),"",INDEX(INDIRECT($B$4),SUM($D$7:$D14)))</f>
        <v>LANCOM LN-862</v>
      </c>
      <c r="F14" s="163">
        <f t="shared" si="1"/>
        <v>8</v>
      </c>
      <c r="G14" s="462" t="s">
        <v>675</v>
      </c>
      <c r="H14" s="188" t="b">
        <v>1</v>
      </c>
      <c r="I14" s="191">
        <f ca="1">MATCH(TRUE,OFFSET(INDIRECT($H$4),SUM($I$7:$I13),0,$H$2-SUM($I$7:$I13)),0)</f>
        <v>1</v>
      </c>
      <c r="J14" s="177" t="str">
        <f ca="1">IF(ISERROR($I14),"",INDEX(INDIRECT($G$4),SUM($I$7:$I14)))</f>
        <v>AirLancer ON-T360ag</v>
      </c>
      <c r="L14" s="168" t="s">
        <v>277</v>
      </c>
      <c r="M14" s="188" t="b">
        <v>0</v>
      </c>
      <c r="N14" s="177">
        <f ca="1">MATCH(TRUE,OFFSET(INDIRECT($M$4),SUM($N$7:$N13),0,$M$2-SUM($N$7:$N13)),0)</f>
        <v>2</v>
      </c>
      <c r="O14" s="177" t="str">
        <f ca="1">IF(ISERROR($N14),"",INDEX(INDIRECT($L$4),SUM($N$7:$N14)))</f>
        <v>O-9a-Cable 1m</v>
      </c>
      <c r="P14" s="217"/>
      <c r="Q14" s="169"/>
      <c r="R14" s="188" t="b">
        <v>0</v>
      </c>
      <c r="S14" s="177" t="e">
        <f ca="1">MATCH(TRUE,OFFSET(INDIRECT($R$4),SUM($S$7:$S13),0,$R$2-SUM($S$7:$S13)),0)</f>
        <v>#REF!</v>
      </c>
      <c r="T14" s="177" t="str">
        <f ca="1">IF(ISERROR($S14),"",INDEX(INDIRECT($Q$4),SUM($S$7:$S14)))</f>
        <v/>
      </c>
      <c r="V14" s="196" t="s">
        <v>106</v>
      </c>
      <c r="W14" s="174" t="b">
        <v>1</v>
      </c>
      <c r="X14" s="191">
        <f ca="1">MATCH(TRUE,OFFSET(INDIRECT($W$4),SUM($X$7:$X13),0,$W$2-SUM($X$7:$X13)),0)</f>
        <v>1</v>
      </c>
      <c r="Y14" s="177" t="str">
        <f ca="1">IF(ISERROR($X14),"",INDEX(INDIRECT($V$4),SUM($X$7:$X14)))</f>
        <v>AR2414</v>
      </c>
      <c r="AA14" s="196"/>
      <c r="AB14" s="188" t="b">
        <v>0</v>
      </c>
      <c r="AC14" s="191" t="e">
        <f ca="1">MATCH(TRUE,OFFSET(INDIRECT($AB$4),SUM($AC$7:$AC13),0,$AB$2-SUM($AC$7:$AC13)),0)</f>
        <v>#REF!</v>
      </c>
      <c r="AD14" s="177" t="str">
        <f ca="1">IF(ISERROR($AC14),"",INDEX(INDIRECT($AA$4),SUM($AC$7:$AC14)))</f>
        <v/>
      </c>
      <c r="AF14" s="177" t="str">
        <f t="shared" ca="1" si="0"/>
        <v>O-9a-Cable 1m</v>
      </c>
      <c r="AG14" s="188" t="b">
        <v>0</v>
      </c>
      <c r="AH14" s="191" t="e">
        <f ca="1">MATCH(TRUE,OFFSET(INDIRECT($AG$4),SUM($AH$7:$AH13),0,$AG$2-SUM($AH$7:$AH13)),0)</f>
        <v>#N/A</v>
      </c>
      <c r="AI14" s="177" t="str">
        <f ca="1">IF(ISERROR($AH14),"",INDEX(INDIRECT($AF$4),SUM($AH$7:$AH14)))</f>
        <v/>
      </c>
    </row>
    <row r="15" spans="1:35" x14ac:dyDescent="0.3">
      <c r="B15" s="169" t="s">
        <v>406</v>
      </c>
      <c r="C15" s="174" t="b">
        <v>1</v>
      </c>
      <c r="D15" s="177">
        <f ca="1">MATCH(TRUE,OFFSET(INDIRECT($C$4),SUM($D$7:$D14),0,$C$2-SUM($D$7:$D14)),0)</f>
        <v>1</v>
      </c>
      <c r="E15" s="177" t="str">
        <f ca="1">IF(ISERROR($D15),"",INDEX(INDIRECT($B$4),SUM($D$7:$D15)))</f>
        <v>LANCOM L-322agn</v>
      </c>
      <c r="F15" s="163">
        <f t="shared" si="1"/>
        <v>9</v>
      </c>
      <c r="G15" s="462" t="s">
        <v>680</v>
      </c>
      <c r="H15" s="188" t="b">
        <v>1</v>
      </c>
      <c r="I15" s="191">
        <f ca="1">MATCH(TRUE,OFFSET(INDIRECT($H$4),SUM($I$7:$I14),0,$H$2-SUM($I$7:$I14)),0)</f>
        <v>1</v>
      </c>
      <c r="J15" s="177" t="str">
        <f ca="1">IF(ISERROR($I15),"",INDEX(INDIRECT($G$4),SUM($I$7:$I15)))</f>
        <v>AirLancer ON-Q360ag</v>
      </c>
      <c r="L15" s="168" t="s">
        <v>18</v>
      </c>
      <c r="M15" s="188" t="b">
        <v>1</v>
      </c>
      <c r="N15" s="177">
        <f ca="1">MATCH(TRUE,OFFSET(INDIRECT($M$4),SUM($N$7:$N14),0,$M$2-SUM($N$7:$N14)),0)</f>
        <v>8</v>
      </c>
      <c r="O15" s="177" t="str">
        <f ca="1">IF(ISERROR($N15),"",INDEX(INDIRECT($L$4),SUM($N$7:$N15)))</f>
        <v>Other cable</v>
      </c>
      <c r="P15" s="217"/>
      <c r="Q15" s="169"/>
      <c r="R15" s="188" t="b">
        <v>0</v>
      </c>
      <c r="S15" s="177" t="e">
        <f ca="1">MATCH(TRUE,OFFSET(INDIRECT($R$4),SUM($S$7:$S14),0,$R$2-SUM($S$7:$S14)),0)</f>
        <v>#REF!</v>
      </c>
      <c r="T15" s="177" t="str">
        <f ca="1">IF(ISERROR($S15),"",INDEX(INDIRECT($Q$4),SUM($S$7:$S15)))</f>
        <v/>
      </c>
      <c r="V15" s="196" t="s">
        <v>107</v>
      </c>
      <c r="W15" s="174" t="b">
        <v>1</v>
      </c>
      <c r="X15" s="191">
        <f ca="1">MATCH(TRUE,OFFSET(INDIRECT($W$4),SUM($X$7:$X14),0,$W$2-SUM($X$7:$X14)),0)</f>
        <v>1</v>
      </c>
      <c r="Y15" s="177" t="str">
        <f ca="1">IF(ISERROR($X15),"",INDEX(INDIRECT($V$4),SUM($X$7:$X15)))</f>
        <v>AR9160/AR9106</v>
      </c>
      <c r="AA15" s="196"/>
      <c r="AB15" s="188" t="b">
        <v>0</v>
      </c>
      <c r="AC15" s="191" t="e">
        <f ca="1">MATCH(TRUE,OFFSET(INDIRECT($AB$4),SUM($AC$7:$AC14),0,$AB$2-SUM($AC$7:$AC14)),0)</f>
        <v>#REF!</v>
      </c>
      <c r="AD15" s="177" t="str">
        <f ca="1">IF(ISERROR($AC15),"",INDEX(INDIRECT($AA$4),SUM($AC$7:$AC15)))</f>
        <v/>
      </c>
      <c r="AF15" s="177" t="str">
        <f t="shared" ca="1" si="0"/>
        <v>Other cable</v>
      </c>
      <c r="AG15" s="188" t="b">
        <v>1</v>
      </c>
      <c r="AH15" s="191" t="e">
        <f ca="1">MATCH(TRUE,OFFSET(INDIRECT($AG$4),SUM($AH$7:$AH14),0,$AG$2-SUM($AH$7:$AH14)),0)</f>
        <v>#N/A</v>
      </c>
      <c r="AI15" s="177" t="str">
        <f ca="1">IF(ISERROR($AH15),"",INDEX(INDIRECT($AF$4),SUM($AH$7:$AH15)))</f>
        <v/>
      </c>
    </row>
    <row r="16" spans="1:35" x14ac:dyDescent="0.3">
      <c r="B16" s="462" t="s">
        <v>405</v>
      </c>
      <c r="C16" s="174" t="b">
        <v>1</v>
      </c>
      <c r="D16" s="177">
        <f ca="1">MATCH(TRUE,OFFSET(INDIRECT($C$4),SUM($D$7:$D15),0,$C$2-SUM($D$7:$D15)),0)</f>
        <v>1</v>
      </c>
      <c r="E16" s="177" t="str">
        <f ca="1">IF(ISERROR($D16),"",INDEX(INDIRECT($B$4),SUM($D$7:$D16)))</f>
        <v>LANCOM L-321agn</v>
      </c>
      <c r="F16" s="163">
        <f t="shared" si="1"/>
        <v>10</v>
      </c>
      <c r="G16" s="462" t="s">
        <v>681</v>
      </c>
      <c r="H16" s="188" t="b">
        <v>1</v>
      </c>
      <c r="I16" s="191">
        <f ca="1">MATCH(TRUE,OFFSET(INDIRECT($H$4),SUM($I$7:$I15),0,$H$2-SUM($I$7:$I15)),0)</f>
        <v>1</v>
      </c>
      <c r="J16" s="177" t="str">
        <f ca="1">IF(ISERROR($I16),"",INDEX(INDIRECT($G$4),SUM($I$7:$I16)))</f>
        <v>AirLancer ON-Q90ag</v>
      </c>
      <c r="L16" s="168" t="s">
        <v>338</v>
      </c>
      <c r="M16" s="188" t="b">
        <v>0</v>
      </c>
      <c r="N16" s="177" t="e">
        <f ca="1">MATCH(TRUE,OFFSET(INDIRECT($M$4),SUM($N$7:$N15),0,$M$2-SUM($N$7:$N15)),0)</f>
        <v>#N/A</v>
      </c>
      <c r="O16" s="177" t="str">
        <f ca="1">IF(ISERROR($N16),"",INDEX(INDIRECT($L$4),SUM($N$7:$N16)))</f>
        <v/>
      </c>
      <c r="P16" s="217"/>
      <c r="Q16" s="170"/>
      <c r="R16" s="189" t="b">
        <v>0</v>
      </c>
      <c r="S16" s="178" t="e">
        <f ca="1">MATCH(TRUE,OFFSET(INDIRECT($R$4),SUM($S$7:$S15),0,$R$2-SUM($S$7:$S15)),0)</f>
        <v>#REF!</v>
      </c>
      <c r="T16" s="178" t="str">
        <f ca="1">IF(ISERROR($S16),"",INDEX(INDIRECT($Q$4),SUM($S$7:$S16)))</f>
        <v/>
      </c>
      <c r="V16" s="196" t="s">
        <v>226</v>
      </c>
      <c r="W16" s="174" t="b">
        <v>1</v>
      </c>
      <c r="X16" s="191">
        <f ca="1">MATCH(TRUE,OFFSET(INDIRECT($W$4),SUM($X$7:$X15),0,$W$2-SUM($X$7:$X15)),0)</f>
        <v>1</v>
      </c>
      <c r="Y16" s="177" t="str">
        <f ca="1">IF(ISERROR($X16),"",INDEX(INDIRECT($V$4),SUM($X$7:$X16)))</f>
        <v>AR9170/AR9104</v>
      </c>
      <c r="AA16" s="196"/>
      <c r="AB16" s="188" t="b">
        <v>0</v>
      </c>
      <c r="AC16" s="191" t="e">
        <f ca="1">MATCH(TRUE,OFFSET(INDIRECT($AB$4),SUM($AC$7:$AC15),0,$AB$2-SUM($AC$7:$AC15)),0)</f>
        <v>#REF!</v>
      </c>
      <c r="AD16" s="177" t="str">
        <f ca="1">IF(ISERROR($AC16),"",INDEX(INDIRECT($AA$4),SUM($AC$7:$AC16)))</f>
        <v/>
      </c>
      <c r="AF16" s="177" t="str">
        <f t="shared" ca="1" si="0"/>
        <v/>
      </c>
      <c r="AG16" s="188" t="b">
        <v>1</v>
      </c>
      <c r="AH16" s="191" t="e">
        <f ca="1">MATCH(TRUE,OFFSET(INDIRECT($AG$4),SUM($AH$7:$AH15),0,$AG$2-SUM($AH$7:$AH15)),0)</f>
        <v>#N/A</v>
      </c>
      <c r="AI16" s="177" t="str">
        <f ca="1">IF(ISERROR($AH16),"",INDEX(INDIRECT($AF$4),SUM($AH$7:$AH16)))</f>
        <v/>
      </c>
    </row>
    <row r="17" spans="1:35" x14ac:dyDescent="0.3">
      <c r="B17" s="169" t="s">
        <v>607</v>
      </c>
      <c r="C17" s="174" t="b">
        <v>1</v>
      </c>
      <c r="D17" s="177">
        <f ca="1">MATCH(TRUE,OFFSET(INDIRECT($C$4),SUM($D$7:$D16),0,$C$2-SUM($D$7:$D16)),0)</f>
        <v>1</v>
      </c>
      <c r="E17" s="177" t="str">
        <f ca="1">IF(ISERROR($D17),"",INDEX(INDIRECT($B$4),SUM($D$7:$D17)))</f>
        <v>LANCOM IAP-822</v>
      </c>
      <c r="F17" s="163">
        <f t="shared" si="1"/>
        <v>11</v>
      </c>
      <c r="G17" s="462" t="s">
        <v>682</v>
      </c>
      <c r="H17" s="188" t="b">
        <v>1</v>
      </c>
      <c r="I17" s="191">
        <f ca="1">MATCH(TRUE,OFFSET(INDIRECT($H$4),SUM($I$7:$I16),0,$H$2-SUM($I$7:$I16)),0)</f>
        <v>1</v>
      </c>
      <c r="J17" s="177" t="str">
        <f ca="1">IF(ISERROR($I17),"",INDEX(INDIRECT($G$4),SUM($I$7:$I17)))</f>
        <v>AirLancer ON-Q60ag</v>
      </c>
      <c r="L17" s="168" t="s">
        <v>339</v>
      </c>
      <c r="M17" s="188" t="b">
        <v>0</v>
      </c>
      <c r="N17" s="177" t="e">
        <f ca="1">MATCH(TRUE,OFFSET(INDIRECT($M$4),SUM($N$7:$N16),0,$M$2-SUM($N$7:$N16)),0)</f>
        <v>#N/A</v>
      </c>
      <c r="O17" s="177" t="str">
        <f ca="1">IF(ISERROR($N17),"",INDEX(INDIRECT($L$4),SUM($N$7:$N17)))</f>
        <v/>
      </c>
      <c r="P17" s="217"/>
      <c r="Q17" s="215"/>
      <c r="V17" s="196" t="s">
        <v>408</v>
      </c>
      <c r="W17" s="174" t="b">
        <v>1</v>
      </c>
      <c r="X17" s="191">
        <f ca="1">MATCH(TRUE,OFFSET(INDIRECT($W$4),SUM($X$7:$X16),0,$W$2-SUM($X$7:$X16)),0)</f>
        <v>1</v>
      </c>
      <c r="Y17" s="177" t="str">
        <f ca="1">IF(ISERROR($X17),"",INDEX(INDIRECT($V$4),SUM($X$7:$X17)))</f>
        <v>AR9280</v>
      </c>
      <c r="AA17" s="196"/>
      <c r="AB17" s="188" t="b">
        <v>0</v>
      </c>
      <c r="AC17" s="191" t="e">
        <f ca="1">MATCH(TRUE,OFFSET(INDIRECT($AB$4),SUM($AC$7:$AC16),0,$AB$2-SUM($AC$7:$AC16)),0)</f>
        <v>#REF!</v>
      </c>
      <c r="AD17" s="177" t="str">
        <f ca="1">IF(ISERROR($AC17),"",INDEX(INDIRECT($AA$4),SUM($AC$7:$AC17)))</f>
        <v/>
      </c>
      <c r="AF17" s="640"/>
      <c r="AG17" s="188" t="b">
        <v>0</v>
      </c>
      <c r="AH17" s="191" t="e">
        <f ca="1">MATCH(TRUE,OFFSET(INDIRECT($AG$4),SUM($AH$7:$AH16),0,$AG$2-SUM($AH$7:$AH16)),0)</f>
        <v>#N/A</v>
      </c>
      <c r="AI17" s="177" t="str">
        <f ca="1">IF(ISERROR($AH17),"",INDEX(INDIRECT($AF$4),SUM($AH$7:$AH17)))</f>
        <v/>
      </c>
    </row>
    <row r="18" spans="1:35" x14ac:dyDescent="0.3">
      <c r="B18" s="169" t="s">
        <v>606</v>
      </c>
      <c r="C18" s="174" t="b">
        <v>1</v>
      </c>
      <c r="D18" s="177">
        <f ca="1">MATCH(TRUE,OFFSET(INDIRECT($C$4),SUM($D$7:$D17),0,$C$2-SUM($D$7:$D17)),0)</f>
        <v>1</v>
      </c>
      <c r="E18" s="177" t="str">
        <f ca="1">IF(ISERROR($D18),"",INDEX(INDIRECT($B$4),SUM($D$7:$D18)))</f>
        <v>LANCOM IAP-821</v>
      </c>
      <c r="F18" s="163">
        <f t="shared" si="1"/>
        <v>12</v>
      </c>
      <c r="G18" s="462" t="s">
        <v>728</v>
      </c>
      <c r="H18" s="188" t="b">
        <v>1</v>
      </c>
      <c r="I18" s="191">
        <f ca="1">MATCH(TRUE,OFFSET(INDIRECT($H$4),SUM($I$7:$I17),0,$H$2-SUM($I$7:$I17)),0)</f>
        <v>1</v>
      </c>
      <c r="J18" s="177" t="str">
        <f ca="1">IF(ISERROR($I18),"",INDEX(INDIRECT($G$4),SUM($I$7:$I18)))</f>
        <v>AirLancer ON-QT60</v>
      </c>
      <c r="L18" s="168" t="s">
        <v>340</v>
      </c>
      <c r="M18" s="188" t="b">
        <v>0</v>
      </c>
      <c r="N18" s="177" t="e">
        <f ca="1">MATCH(TRUE,OFFSET(INDIRECT($M$4),SUM($N$7:$N17),0,$M$2-SUM($N$7:$N17)),0)</f>
        <v>#N/A</v>
      </c>
      <c r="O18" s="177" t="str">
        <f ca="1">IF(ISERROR($N18),"",INDEX(INDIRECT($L$4),SUM($N$7:$N18)))</f>
        <v/>
      </c>
      <c r="P18" s="217"/>
      <c r="Q18" s="215"/>
      <c r="V18" s="169" t="s">
        <v>494</v>
      </c>
      <c r="W18" s="174" t="b">
        <v>1</v>
      </c>
      <c r="X18" s="191">
        <f ca="1">MATCH(TRUE,OFFSET(INDIRECT($W$4),SUM($X$7:$X17),0,$W$2-SUM($X$7:$X17)),0)</f>
        <v>1</v>
      </c>
      <c r="Y18" s="177" t="str">
        <f ca="1">IF(ISERROR($X18),"",INDEX(INDIRECT($V$4),SUM($X$7:$X18)))</f>
        <v>AR9160/AR9106 (OAP/IAP)</v>
      </c>
      <c r="AA18" s="196"/>
      <c r="AB18" s="188" t="b">
        <v>0</v>
      </c>
      <c r="AC18" s="191" t="e">
        <f ca="1">MATCH(TRUE,OFFSET(INDIRECT($AB$4),SUM($AC$7:$AC17),0,$AB$2-SUM($AC$7:$AC17)),0)</f>
        <v>#REF!</v>
      </c>
      <c r="AD18" s="177" t="str">
        <f ca="1">IF(ISERROR($AC18),"",INDEX(INDIRECT($AA$4),SUM($AC$7:$AC18)))</f>
        <v/>
      </c>
      <c r="AF18" s="640"/>
      <c r="AG18" s="188" t="b">
        <v>0</v>
      </c>
      <c r="AH18" s="191" t="e">
        <f ca="1">MATCH(TRUE,OFFSET(INDIRECT($AG$4),SUM($AH$7:$AH17),0,$AG$2-SUM($AH$7:$AH17)),0)</f>
        <v>#N/A</v>
      </c>
      <c r="AI18" s="177" t="str">
        <f ca="1">IF(ISERROR($AH18),"",INDEX(INDIRECT($AF$4),SUM($AH$7:$AH18)))</f>
        <v/>
      </c>
    </row>
    <row r="19" spans="1:35" x14ac:dyDescent="0.3">
      <c r="B19" s="169"/>
      <c r="C19" s="174" t="b">
        <v>0</v>
      </c>
      <c r="D19" s="177" t="e">
        <f ca="1">MATCH(TRUE,OFFSET(INDIRECT($C$4),SUM($D$7:$D18),0,$C$2-SUM($D$7:$D18)),0)</f>
        <v>#REF!</v>
      </c>
      <c r="E19" s="177" t="str">
        <f ca="1">IF(ISERROR($D19),"",INDEX(INDIRECT($B$4),SUM($D$7:$D19)))</f>
        <v/>
      </c>
      <c r="F19" s="163">
        <f t="shared" si="1"/>
        <v>13</v>
      </c>
      <c r="G19" s="462" t="s">
        <v>729</v>
      </c>
      <c r="H19" s="188" t="b">
        <v>1</v>
      </c>
      <c r="I19" s="191">
        <f ca="1">MATCH(TRUE,OFFSET(INDIRECT($H$4),SUM($I$7:$I18),0,$H$2-SUM($I$7:$I18)),0)</f>
        <v>1</v>
      </c>
      <c r="J19" s="177" t="str">
        <f ca="1">IF(ISERROR($I19),"",INDEX(INDIRECT($G$4),SUM($I$7:$I19)))</f>
        <v>AirLancer ON-QT90</v>
      </c>
      <c r="L19" s="168" t="s">
        <v>278</v>
      </c>
      <c r="M19" s="188" t="b">
        <v>0</v>
      </c>
      <c r="N19" s="177" t="e">
        <f ca="1">MATCH(TRUE,OFFSET(INDIRECT($M$4),SUM($N$7:$N18),0,$M$2-SUM($N$7:$N18)),0)</f>
        <v>#N/A</v>
      </c>
      <c r="O19" s="177" t="str">
        <f ca="1">IF(ISERROR($N19),"",INDEX(INDIRECT($L$4),SUM($N$7:$N19)))</f>
        <v/>
      </c>
      <c r="P19" s="217"/>
      <c r="Q19" s="215"/>
      <c r="V19" s="169" t="s">
        <v>496</v>
      </c>
      <c r="W19" s="174" t="b">
        <v>1</v>
      </c>
      <c r="X19" s="191">
        <f ca="1">MATCH(TRUE,OFFSET(INDIRECT($W$4),SUM($X$7:$X18),0,$W$2-SUM($X$7:$X18)),0)</f>
        <v>1</v>
      </c>
      <c r="Y19" s="177" t="str">
        <f ca="1">IF(ISERROR($X19),"",INDEX(INDIRECT($V$4),SUM($X$7:$X19)))</f>
        <v>AR9390</v>
      </c>
      <c r="AA19" s="196"/>
      <c r="AB19" s="188" t="b">
        <v>0</v>
      </c>
      <c r="AC19" s="191" t="e">
        <f ca="1">MATCH(TRUE,OFFSET(INDIRECT($AB$4),SUM($AC$7:$AC18),0,$AB$2-SUM($AC$7:$AC18)),0)</f>
        <v>#REF!</v>
      </c>
      <c r="AD19" s="177" t="str">
        <f ca="1">IF(ISERROR($AC19),"",INDEX(INDIRECT($AA$4),SUM($AC$7:$AC19)))</f>
        <v/>
      </c>
      <c r="AF19" s="177" t="str">
        <f t="shared" ca="1" si="0"/>
        <v/>
      </c>
      <c r="AG19" s="188" t="b">
        <v>0</v>
      </c>
      <c r="AH19" s="191" t="e">
        <f ca="1">MATCH(TRUE,OFFSET(INDIRECT($AG$4),SUM($AH$7:$AH18),0,$AG$2-SUM($AH$7:$AH18)),0)</f>
        <v>#N/A</v>
      </c>
      <c r="AI19" s="177" t="str">
        <f ca="1">IF(ISERROR($AH19),"",INDEX(INDIRECT($AF$4),SUM($AH$7:$AH19)))</f>
        <v/>
      </c>
    </row>
    <row r="20" spans="1:35" x14ac:dyDescent="0.3">
      <c r="B20" s="169"/>
      <c r="C20" s="174" t="b">
        <v>0</v>
      </c>
      <c r="D20" s="177" t="e">
        <f ca="1">MATCH(TRUE,OFFSET(INDIRECT($C$4),SUM($D$7:$D19),0,$C$2-SUM($D$7:$D19)),0)</f>
        <v>#REF!</v>
      </c>
      <c r="E20" s="177" t="str">
        <f ca="1">IF(ISERROR($D20),"",INDEX(INDIRECT($B$4),SUM($D$7:$D20)))</f>
        <v/>
      </c>
      <c r="F20" s="163">
        <f t="shared" si="1"/>
        <v>14</v>
      </c>
      <c r="G20" s="168" t="s">
        <v>697</v>
      </c>
      <c r="H20" s="188" t="b">
        <v>1</v>
      </c>
      <c r="I20" s="191">
        <f ca="1">MATCH(TRUE,OFFSET(INDIRECT($H$4),SUM($I$7:$I19),0,$H$2-SUM($I$7:$I19)),0)</f>
        <v>1</v>
      </c>
      <c r="J20" s="177" t="str">
        <f ca="1">IF(ISERROR($I20),"",INDEX(INDIRECT($G$4),SUM($I$7:$I20)))</f>
        <v>OAP-821 intern</v>
      </c>
      <c r="L20" s="168" t="s">
        <v>279</v>
      </c>
      <c r="M20" s="188" t="b">
        <v>0</v>
      </c>
      <c r="N20" s="177" t="e">
        <f ca="1">MATCH(TRUE,OFFSET(INDIRECT($M$4),SUM($N$7:$N19),0,$M$2-SUM($N$7:$N19)),0)</f>
        <v>#N/A</v>
      </c>
      <c r="O20" s="177" t="str">
        <f ca="1">IF(ISERROR($N20),"",INDEX(INDIRECT($L$4),SUM($N$7:$N20)))</f>
        <v/>
      </c>
      <c r="P20" s="217"/>
      <c r="Q20" s="215"/>
      <c r="V20" s="169" t="s">
        <v>499</v>
      </c>
      <c r="W20" s="174" t="b">
        <v>1</v>
      </c>
      <c r="X20" s="191">
        <f ca="1">MATCH(TRUE,OFFSET(INDIRECT($W$4),SUM($X$7:$X19),0,$W$2-SUM($X$7:$X19)),0)</f>
        <v>1</v>
      </c>
      <c r="Y20" s="177" t="str">
        <f ca="1">IF(ISERROR($X20),"",INDEX(INDIRECT($V$4),SUM($X$7:$X20)))</f>
        <v>AR9382</v>
      </c>
      <c r="AA20" s="196"/>
      <c r="AB20" s="188" t="b">
        <v>0</v>
      </c>
      <c r="AC20" s="191" t="e">
        <f ca="1">MATCH(TRUE,OFFSET(INDIRECT($AB$4),SUM($AC$7:$AC19),0,$AB$2-SUM($AC$7:$AC19)),0)</f>
        <v>#REF!</v>
      </c>
      <c r="AD20" s="177" t="str">
        <f ca="1">IF(ISERROR($AC20),"",INDEX(INDIRECT($AA$4),SUM($AC$7:$AC20)))</f>
        <v/>
      </c>
      <c r="AF20" s="177" t="str">
        <f t="shared" ca="1" si="0"/>
        <v/>
      </c>
      <c r="AG20" s="188" t="b">
        <v>0</v>
      </c>
      <c r="AH20" s="191" t="e">
        <f ca="1">MATCH(TRUE,OFFSET(INDIRECT($AG$4),SUM($AH$7:$AH19),0,$AG$2-SUM($AH$7:$AH19)),0)</f>
        <v>#N/A</v>
      </c>
      <c r="AI20" s="177" t="str">
        <f ca="1">IF(ISERROR($AH20),"",INDEX(INDIRECT($AF$4),SUM($AH$7:$AH20)))</f>
        <v/>
      </c>
    </row>
    <row r="21" spans="1:35" x14ac:dyDescent="0.3">
      <c r="A21" s="548" t="s">
        <v>612</v>
      </c>
      <c r="B21" s="196"/>
      <c r="C21" s="174" t="b">
        <v>0</v>
      </c>
      <c r="D21" s="177" t="e">
        <f ca="1">MATCH(TRUE,OFFSET(INDIRECT($C$4),SUM($D$7:$D20),0,$C$2-SUM($D$7:$D20)),0)</f>
        <v>#REF!</v>
      </c>
      <c r="E21" s="177" t="str">
        <f ca="1">IF(ISERROR($D21),"",INDEX(INDIRECT($B$4),SUM($D$7:$D21)))</f>
        <v/>
      </c>
      <c r="F21" s="163">
        <f t="shared" si="1"/>
        <v>15</v>
      </c>
      <c r="G21" s="168"/>
      <c r="H21" s="188" t="b">
        <v>0</v>
      </c>
      <c r="I21" s="191" t="e">
        <f ca="1">MATCH(TRUE,OFFSET(INDIRECT($H$4),SUM($I$7:$I20),0,$H$2-SUM($I$7:$I20)),0)</f>
        <v>#REF!</v>
      </c>
      <c r="J21" s="177" t="str">
        <f ca="1">IF(ISERROR($I21),"",INDEX(INDIRECT($G$4),SUM($I$7:$I21)))</f>
        <v/>
      </c>
      <c r="L21" s="463" t="s">
        <v>589</v>
      </c>
      <c r="M21" s="518" t="b">
        <v>0</v>
      </c>
      <c r="N21" s="177" t="e">
        <f ca="1">MATCH(TRUE,OFFSET(INDIRECT($M$4),SUM($N$7:$N20),0,$M$2-SUM($N$7:$N20)),0)</f>
        <v>#N/A</v>
      </c>
      <c r="O21" s="177" t="str">
        <f ca="1">IF(ISERROR($N21),"",INDEX(INDIRECT($L$4),SUM($N$7:$N21)))</f>
        <v/>
      </c>
      <c r="P21" s="217"/>
      <c r="Q21" s="215"/>
      <c r="V21" s="169" t="s">
        <v>575</v>
      </c>
      <c r="W21" s="174" t="b">
        <v>1</v>
      </c>
      <c r="X21" s="191">
        <f ca="1">MATCH(TRUE,OFFSET(INDIRECT($W$4),SUM($X$7:$X20),0,$W$2-SUM($X$7:$X20)),0)</f>
        <v>1</v>
      </c>
      <c r="Y21" s="177" t="str">
        <f ca="1">IF(ISERROR($X21),"",INDEX(INDIRECT($V$4),SUM($X$7:$X21)))</f>
        <v>QCA9880</v>
      </c>
      <c r="AA21" s="196"/>
      <c r="AB21" s="188" t="b">
        <v>0</v>
      </c>
      <c r="AC21" s="191" t="e">
        <f ca="1">MATCH(TRUE,OFFSET(INDIRECT($AB$4),SUM($AC$7:$AC20),0,$AB$2-SUM($AC$7:$AC20)),0)</f>
        <v>#REF!</v>
      </c>
      <c r="AD21" s="177" t="str">
        <f ca="1">IF(ISERROR($AC21),"",INDEX(INDIRECT($AA$4),SUM($AC$7:$AC21)))</f>
        <v/>
      </c>
      <c r="AF21" s="177" t="str">
        <f t="shared" ca="1" si="0"/>
        <v/>
      </c>
      <c r="AG21" s="188" t="b">
        <v>0</v>
      </c>
      <c r="AH21" s="191" t="e">
        <f ca="1">MATCH(TRUE,OFFSET(INDIRECT($AG$4),SUM($AH$7:$AH20),0,$AG$2-SUM($AH$7:$AH20)),0)</f>
        <v>#N/A</v>
      </c>
      <c r="AI21" s="177" t="str">
        <f ca="1">IF(ISERROR($AH21),"",INDEX(INDIRECT($AF$4),SUM($AH$7:$AH21)))</f>
        <v/>
      </c>
    </row>
    <row r="22" spans="1:35" x14ac:dyDescent="0.3">
      <c r="B22" s="196"/>
      <c r="C22" s="174" t="b">
        <v>0</v>
      </c>
      <c r="D22" s="177" t="e">
        <f ca="1">MATCH(TRUE,OFFSET(INDIRECT($C$4),SUM($D$7:$D21),0,$C$2-SUM($D$7:$D21)),0)</f>
        <v>#REF!</v>
      </c>
      <c r="E22" s="177" t="str">
        <f ca="1">IF(ISERROR($D22),"",INDEX(INDIRECT($B$4),SUM($D$7:$D22)))</f>
        <v/>
      </c>
      <c r="F22" s="163">
        <f t="shared" si="1"/>
        <v>16</v>
      </c>
      <c r="G22" s="168"/>
      <c r="H22" s="188" t="b">
        <v>0</v>
      </c>
      <c r="I22" s="191" t="e">
        <f ca="1">MATCH(TRUE,OFFSET(INDIRECT($H$4),SUM($I$7:$I21),0,$H$2-SUM($I$7:$I21)),0)</f>
        <v>#REF!</v>
      </c>
      <c r="J22" s="177" t="str">
        <f ca="1">IF(ISERROR($I22),"",INDEX(INDIRECT($G$4),SUM($I$7:$I22)))</f>
        <v/>
      </c>
      <c r="L22" s="168" t="s">
        <v>603</v>
      </c>
      <c r="M22" s="188" t="b">
        <v>0</v>
      </c>
      <c r="N22" s="177" t="e">
        <f ca="1">MATCH(TRUE,OFFSET(INDIRECT($M$4),SUM($N$7:$N21),0,$M$2-SUM($N$7:$N21)),0)</f>
        <v>#N/A</v>
      </c>
      <c r="O22" s="177" t="str">
        <f ca="1">IF(ISERROR($N22),"",INDEX(INDIRECT($L$4),SUM($N$7:$N22)))</f>
        <v/>
      </c>
      <c r="P22" s="217"/>
      <c r="Q22" s="215"/>
      <c r="V22" s="169" t="s">
        <v>576</v>
      </c>
      <c r="W22" s="174" t="b">
        <v>1</v>
      </c>
      <c r="X22" s="191">
        <f ca="1">MATCH(TRUE,OFFSET(INDIRECT($W$4),SUM($X$7:$X21),0,$W$2-SUM($X$7:$X21)),0)</f>
        <v>1</v>
      </c>
      <c r="Y22" s="177" t="str">
        <f ca="1">IF(ISERROR($X22),"",INDEX(INDIRECT($V$4),SUM($X$7:$X22)))</f>
        <v>QCA9882</v>
      </c>
      <c r="AA22" s="196"/>
      <c r="AB22" s="188" t="b">
        <v>0</v>
      </c>
      <c r="AC22" s="191" t="e">
        <f ca="1">MATCH(TRUE,OFFSET(INDIRECT($AB$4),SUM($AC$7:$AC21),0,$AB$2-SUM($AC$7:$AC21)),0)</f>
        <v>#REF!</v>
      </c>
      <c r="AD22" s="177" t="str">
        <f ca="1">IF(ISERROR($AC22),"",INDEX(INDIRECT($AA$4),SUM($AC$7:$AC22)))</f>
        <v/>
      </c>
      <c r="AF22" s="177" t="str">
        <f t="shared" ca="1" si="0"/>
        <v/>
      </c>
      <c r="AG22" s="188" t="b">
        <v>0</v>
      </c>
      <c r="AH22" s="191" t="e">
        <f ca="1">MATCH(TRUE,OFFSET(INDIRECT($AG$4),SUM($AH$7:$AH21),0,$AG$2-SUM($AH$7:$AH21)),0)</f>
        <v>#N/A</v>
      </c>
      <c r="AI22" s="177" t="str">
        <f ca="1">IF(ISERROR($AH22),"",INDEX(INDIRECT($AF$4),SUM($AH$7:$AH22)))</f>
        <v/>
      </c>
    </row>
    <row r="23" spans="1:35" x14ac:dyDescent="0.3">
      <c r="B23" s="169"/>
      <c r="C23" s="174" t="b">
        <v>0</v>
      </c>
      <c r="D23" s="177" t="e">
        <f ca="1">MATCH(TRUE,OFFSET(INDIRECT($C$4),SUM($D$7:$D22),0,$C$2-SUM($D$7:$D22)),0)</f>
        <v>#REF!</v>
      </c>
      <c r="E23" s="177" t="str">
        <f ca="1">IF(ISERROR($D23),"",INDEX(INDIRECT($B$4),SUM($D$7:$D23)))</f>
        <v/>
      </c>
      <c r="F23" s="163">
        <f t="shared" si="1"/>
        <v>17</v>
      </c>
      <c r="G23" s="168"/>
      <c r="H23" s="188" t="b">
        <v>0</v>
      </c>
      <c r="I23" s="191" t="e">
        <f ca="1">MATCH(TRUE,OFFSET(INDIRECT($H$4),SUM($I$7:$I22),0,$H$2-SUM($I$7:$I22)),0)</f>
        <v>#REF!</v>
      </c>
      <c r="J23" s="177" t="str">
        <f ca="1">IF(ISERROR($I23),"",INDEX(INDIRECT($G$4),SUM($I$7:$I23)))</f>
        <v/>
      </c>
      <c r="L23" s="517" t="str">
        <f>LanguageTable!B5</f>
        <v>Other cable</v>
      </c>
      <c r="M23" s="188" t="b">
        <v>1</v>
      </c>
      <c r="N23" s="177" t="e">
        <f ca="1">MATCH(TRUE,OFFSET(INDIRECT($M$4),SUM($N$7:$N22),0,$M$2-SUM($N$7:$N22)),0)</f>
        <v>#N/A</v>
      </c>
      <c r="O23" s="177" t="str">
        <f ca="1">IF(ISERROR($N23),"",INDEX(INDIRECT($L$4),SUM($N$7:$N23)))</f>
        <v/>
      </c>
      <c r="P23" s="217"/>
      <c r="Q23" s="215"/>
      <c r="V23" s="169" t="s">
        <v>580</v>
      </c>
      <c r="W23" s="174" t="b">
        <v>1</v>
      </c>
      <c r="X23" s="191">
        <f ca="1">MATCH(TRUE,OFFSET(INDIRECT($W$4),SUM($X$7:$X22),0,$W$2-SUM($X$7:$X22)),0)</f>
        <v>1</v>
      </c>
      <c r="Y23" s="177" t="str">
        <f ca="1">IF(ISERROR($X23),"",INDEX(INDIRECT($V$4),SUM($X$7:$X23)))</f>
        <v>AR9592</v>
      </c>
      <c r="AA23" s="169"/>
      <c r="AB23" s="188" t="b">
        <v>0</v>
      </c>
      <c r="AC23" s="191" t="e">
        <f ca="1">MATCH(TRUE,OFFSET(INDIRECT($AB$4),SUM($AC$7:$AC22),0,$AB$2-SUM($AC$7:$AC22)),0)</f>
        <v>#REF!</v>
      </c>
      <c r="AD23" s="177" t="str">
        <f ca="1">IF(ISERROR($AC23),"",INDEX(INDIRECT($AA$4),SUM($AC$7:$AC23)))</f>
        <v/>
      </c>
      <c r="AF23" s="177" t="str">
        <f t="shared" ca="1" si="0"/>
        <v/>
      </c>
      <c r="AG23" s="188" t="b">
        <v>0</v>
      </c>
      <c r="AH23" s="191" t="e">
        <f ca="1">MATCH(TRUE,OFFSET(INDIRECT($AG$4),SUM($AH$7:$AH22),0,$AG$2-SUM($AH$7:$AH22)),0)</f>
        <v>#N/A</v>
      </c>
      <c r="AI23" s="177" t="str">
        <f ca="1">IF(ISERROR($AH23),"",INDEX(INDIRECT($AF$4),SUM($AH$7:$AH23)))</f>
        <v/>
      </c>
    </row>
    <row r="24" spans="1:35" x14ac:dyDescent="0.3">
      <c r="B24" s="169"/>
      <c r="C24" s="174" t="b">
        <v>0</v>
      </c>
      <c r="D24" s="177" t="e">
        <f ca="1">MATCH(TRUE,OFFSET(INDIRECT($C$4),SUM($D$7:$D23),0,$C$2-SUM($D$7:$D23)),0)</f>
        <v>#REF!</v>
      </c>
      <c r="E24" s="177" t="str">
        <f ca="1">IF(ISERROR($D24),"",INDEX(INDIRECT($B$4),SUM($D$7:$D24)))</f>
        <v/>
      </c>
      <c r="F24" s="163">
        <f t="shared" si="1"/>
        <v>18</v>
      </c>
      <c r="G24" s="168"/>
      <c r="H24" s="188" t="b">
        <v>0</v>
      </c>
      <c r="I24" s="191" t="e">
        <f ca="1">MATCH(TRUE,OFFSET(INDIRECT($H$4),SUM($I$7:$I23),0,$H$2-SUM($I$7:$I23)),0)</f>
        <v>#REF!</v>
      </c>
      <c r="J24" s="177" t="str">
        <f ca="1">IF(ISERROR($I24),"",INDEX(INDIRECT($G$4),SUM($I$7:$I24)))</f>
        <v/>
      </c>
      <c r="L24" s="517" t="str">
        <f>LanguageTable!B47</f>
        <v>Default cable</v>
      </c>
      <c r="M24" s="188" t="b">
        <v>0</v>
      </c>
      <c r="N24" s="177" t="e">
        <f ca="1">MATCH(TRUE,OFFSET(INDIRECT($M$4),SUM($N$7:$N23),0,$M$2-SUM($N$7:$N23)),0)</f>
        <v>#N/A</v>
      </c>
      <c r="O24" s="177" t="str">
        <f ca="1">IF(ISERROR($N24),"",INDEX(INDIRECT($L$4),SUM($N$7:$N24)))</f>
        <v/>
      </c>
      <c r="P24" s="217"/>
      <c r="Q24" s="215"/>
      <c r="V24" s="169" t="s">
        <v>608</v>
      </c>
      <c r="W24" s="174" t="b">
        <v>1</v>
      </c>
      <c r="X24" s="191">
        <f ca="1">MATCH(TRUE,OFFSET(INDIRECT($W$4),SUM($X$7:$X23),0,$W$2-SUM($X$7:$X23)),0)</f>
        <v>1</v>
      </c>
      <c r="Y24" s="177" t="str">
        <f ca="1">IF(ISERROR($X24),"",INDEX(INDIRECT($V$4),SUM($X$7:$X24)))</f>
        <v>QCA9880 (2x2)</v>
      </c>
      <c r="AA24" s="169"/>
      <c r="AB24" s="188" t="b">
        <v>0</v>
      </c>
      <c r="AC24" s="191" t="e">
        <f ca="1">MATCH(TRUE,OFFSET(INDIRECT($AB$4),SUM($AC$7:$AC23),0,$AB$2-SUM($AC$7:$AC23)),0)</f>
        <v>#REF!</v>
      </c>
      <c r="AD24" s="177" t="str">
        <f ca="1">IF(ISERROR($AC24),"",INDEX(INDIRECT($AA$4),SUM($AC$7:$AC24)))</f>
        <v/>
      </c>
      <c r="AF24" s="177" t="str">
        <f t="shared" ca="1" si="0"/>
        <v/>
      </c>
      <c r="AG24" s="188" t="b">
        <v>0</v>
      </c>
      <c r="AH24" s="191" t="e">
        <f ca="1">MATCH(TRUE,OFFSET(INDIRECT($AG$4),SUM($AH$7:$AH23),0,$AG$2-SUM($AH$7:$AH23)),0)</f>
        <v>#N/A</v>
      </c>
      <c r="AI24" s="177" t="str">
        <f ca="1">IF(ISERROR($AH24),"",INDEX(INDIRECT($AF$4),SUM($AH$7:$AH24)))</f>
        <v/>
      </c>
    </row>
    <row r="25" spans="1:35" x14ac:dyDescent="0.3">
      <c r="B25" s="169"/>
      <c r="C25" s="174" t="b">
        <v>0</v>
      </c>
      <c r="D25" s="177" t="e">
        <f ca="1">MATCH(TRUE,OFFSET(INDIRECT($C$4),SUM($D$7:$D24),0,$C$2-SUM($D$7:$D24)),0)</f>
        <v>#REF!</v>
      </c>
      <c r="E25" s="177" t="str">
        <f ca="1">IF(ISERROR($D25),"",INDEX(INDIRECT($B$4),SUM($D$7:$D25)))</f>
        <v/>
      </c>
      <c r="F25" s="163">
        <f t="shared" si="1"/>
        <v>19</v>
      </c>
      <c r="G25" s="168"/>
      <c r="H25" s="188" t="b">
        <v>0</v>
      </c>
      <c r="I25" s="191" t="e">
        <f ca="1">MATCH(TRUE,OFFSET(INDIRECT($H$4),SUM($I$7:$I24),0,$H$2-SUM($I$7:$I24)),0)</f>
        <v>#REF!</v>
      </c>
      <c r="J25" s="177" t="str">
        <f ca="1">IF(ISERROR($I25),"",INDEX(INDIRECT($G$4),SUM($I$7:$I25)))</f>
        <v/>
      </c>
      <c r="L25" s="169"/>
      <c r="M25" s="188" t="b">
        <v>0</v>
      </c>
      <c r="N25" s="177" t="e">
        <f ca="1">MATCH(TRUE,OFFSET(INDIRECT($M$4),SUM($N$7:$N24),0,$M$2-SUM($N$7:$N24)),0)</f>
        <v>#N/A</v>
      </c>
      <c r="O25" s="177" t="str">
        <f ca="1">IF(ISERROR($N25),"",INDEX(INDIRECT($L$4),SUM($N$7:$N25)))</f>
        <v/>
      </c>
      <c r="P25" s="217"/>
      <c r="Q25" s="215"/>
      <c r="V25" s="169" t="s">
        <v>609</v>
      </c>
      <c r="W25" s="174" t="b">
        <v>1</v>
      </c>
      <c r="X25" s="191">
        <f ca="1">MATCH(TRUE,OFFSET(INDIRECT($W$4),SUM($X$7:$X24),0,$W$2-SUM($X$7:$X24)),0)</f>
        <v>1</v>
      </c>
      <c r="Y25" s="177" t="str">
        <f ca="1">IF(ISERROR($X25),"",INDEX(INDIRECT($V$4),SUM($X$7:$X25)))</f>
        <v>QCA9984</v>
      </c>
      <c r="AA25" s="169"/>
      <c r="AB25" s="188" t="b">
        <v>0</v>
      </c>
      <c r="AC25" s="191" t="e">
        <f ca="1">MATCH(TRUE,OFFSET(INDIRECT($AB$4),SUM($AC$7:$AC24),0,$AB$2-SUM($AC$7:$AC24)),0)</f>
        <v>#REF!</v>
      </c>
      <c r="AD25" s="177" t="str">
        <f ca="1">IF(ISERROR($AC25),"",INDEX(INDIRECT($AA$4),SUM($AC$7:$AC25)))</f>
        <v/>
      </c>
      <c r="AF25" s="177" t="str">
        <f t="shared" ca="1" si="0"/>
        <v/>
      </c>
      <c r="AG25" s="188" t="b">
        <v>0</v>
      </c>
      <c r="AH25" s="191" t="e">
        <f ca="1">MATCH(TRUE,OFFSET(INDIRECT($AG$4),SUM($AH$7:$AH24),0,$AG$2-SUM($AH$7:$AH24)),0)</f>
        <v>#N/A</v>
      </c>
      <c r="AI25" s="177" t="str">
        <f ca="1">IF(ISERROR($AH25),"",INDEX(INDIRECT($AF$4),SUM($AH$7:$AH25)))</f>
        <v/>
      </c>
    </row>
    <row r="26" spans="1:35" x14ac:dyDescent="0.3">
      <c r="B26" s="167"/>
      <c r="C26" s="174" t="b">
        <v>0</v>
      </c>
      <c r="D26" s="177" t="e">
        <f ca="1">MATCH(TRUE,OFFSET(INDIRECT($C$4),SUM($D$7:$D25),0,$C$2-SUM($D$7:$D25)),0)</f>
        <v>#REF!</v>
      </c>
      <c r="E26" s="177" t="str">
        <f ca="1">IF(ISERROR($D26),"",INDEX(INDIRECT($B$4),SUM($D$7:$D26)))</f>
        <v/>
      </c>
      <c r="F26" s="163">
        <f t="shared" si="1"/>
        <v>20</v>
      </c>
      <c r="G26" s="168"/>
      <c r="H26" s="188" t="b">
        <v>0</v>
      </c>
      <c r="I26" s="191" t="e">
        <f ca="1">MATCH(TRUE,OFFSET(INDIRECT($H$4),SUM($I$7:$I25),0,$H$2-SUM($I$7:$I25)),0)</f>
        <v>#REF!</v>
      </c>
      <c r="J26" s="177" t="str">
        <f ca="1">IF(ISERROR($I26),"",INDEX(INDIRECT($G$4),SUM($I$7:$I26)))</f>
        <v/>
      </c>
      <c r="L26" s="169"/>
      <c r="M26" s="188" t="b">
        <v>0</v>
      </c>
      <c r="N26" s="177" t="e">
        <f ca="1">MATCH(TRUE,OFFSET(INDIRECT($M$4),SUM($N$7:$N25),0,$M$2-SUM($N$7:$N25)),0)</f>
        <v>#N/A</v>
      </c>
      <c r="O26" s="177" t="str">
        <f ca="1">IF(ISERROR($N26),"",INDEX(INDIRECT($L$4),SUM($N$7:$N26)))</f>
        <v/>
      </c>
      <c r="P26" s="217"/>
      <c r="Q26" s="215"/>
      <c r="V26" s="169" t="s">
        <v>610</v>
      </c>
      <c r="W26" s="174" t="b">
        <v>1</v>
      </c>
      <c r="X26" s="191">
        <f ca="1">MATCH(TRUE,OFFSET(INDIRECT($W$4),SUM($X$7:$X25),0,$W$2-SUM($X$7:$X25)),0)</f>
        <v>1</v>
      </c>
      <c r="Y26" s="177" t="str">
        <f ca="1">IF(ISERROR($X26),"",INDEX(INDIRECT($V$4),SUM($X$7:$X26)))</f>
        <v>QCA9888</v>
      </c>
      <c r="AA26" s="169"/>
      <c r="AB26" s="188" t="b">
        <v>0</v>
      </c>
      <c r="AC26" s="191" t="e">
        <f ca="1">MATCH(TRUE,OFFSET(INDIRECT($AB$4),SUM($AC$7:$AC25),0,$AB$2-SUM($AC$7:$AC25)),0)</f>
        <v>#REF!</v>
      </c>
      <c r="AD26" s="177" t="str">
        <f ca="1">IF(ISERROR($AC26),"",INDEX(INDIRECT($AA$4),SUM($AC$7:$AC26)))</f>
        <v/>
      </c>
      <c r="AF26" s="177" t="str">
        <f t="shared" ca="1" si="0"/>
        <v/>
      </c>
      <c r="AG26" s="188" t="b">
        <v>0</v>
      </c>
      <c r="AH26" s="191" t="e">
        <f ca="1">MATCH(TRUE,OFFSET(INDIRECT($AG$4),SUM($AH$7:$AH25),0,$AG$2-SUM($AH$7:$AH25)),0)</f>
        <v>#N/A</v>
      </c>
      <c r="AI26" s="177" t="str">
        <f ca="1">IF(ISERROR($AH26),"",INDEX(INDIRECT($AF$4),SUM($AH$7:$AH26)))</f>
        <v/>
      </c>
    </row>
    <row r="27" spans="1:35" x14ac:dyDescent="0.3">
      <c r="B27" s="167"/>
      <c r="C27" s="174" t="b">
        <v>0</v>
      </c>
      <c r="D27" s="177" t="e">
        <f ca="1">MATCH(TRUE,OFFSET(INDIRECT($C$4),SUM($D$7:$D26),0,$C$2-SUM($D$7:$D26)),0)</f>
        <v>#REF!</v>
      </c>
      <c r="E27" s="177" t="str">
        <f ca="1">IF(ISERROR($D27),"",INDEX(INDIRECT($B$4),SUM($D$7:$D27)))</f>
        <v/>
      </c>
      <c r="F27" s="163">
        <f t="shared" si="1"/>
        <v>21</v>
      </c>
      <c r="G27" s="168"/>
      <c r="H27" s="188" t="b">
        <v>0</v>
      </c>
      <c r="I27" s="191" t="e">
        <f ca="1">MATCH(TRUE,OFFSET(INDIRECT($H$4),SUM($I$7:$I26),0,$H$2-SUM($I$7:$I26)),0)</f>
        <v>#REF!</v>
      </c>
      <c r="J27" s="177" t="str">
        <f ca="1">IF(ISERROR($I27),"",INDEX(INDIRECT($G$4),SUM($I$7:$I27)))</f>
        <v/>
      </c>
      <c r="L27" s="169"/>
      <c r="M27" s="188" t="b">
        <v>0</v>
      </c>
      <c r="N27" s="177" t="e">
        <f ca="1">MATCH(TRUE,OFFSET(INDIRECT($M$4),SUM($N$7:$N26),0,$M$2-SUM($N$7:$N26)),0)</f>
        <v>#N/A</v>
      </c>
      <c r="O27" s="177" t="str">
        <f ca="1">IF(ISERROR($N27),"",INDEX(INDIRECT($L$4),SUM($N$7:$N27)))</f>
        <v/>
      </c>
      <c r="P27" s="217"/>
      <c r="Q27" s="215"/>
      <c r="V27" s="169" t="s">
        <v>611</v>
      </c>
      <c r="W27" s="174" t="b">
        <v>1</v>
      </c>
      <c r="X27" s="191">
        <f ca="1">MATCH(TRUE,OFFSET(INDIRECT($W$4),SUM($X$7:$X26),0,$W$2-SUM($X$7:$X26)),0)</f>
        <v>1</v>
      </c>
      <c r="Y27" s="177" t="str">
        <f ca="1">IF(ISERROR($X27),"",INDEX(INDIRECT($V$4),SUM($X$7:$X27)))</f>
        <v>AR9390 (2x2)</v>
      </c>
      <c r="AA27" s="169"/>
      <c r="AB27" s="188" t="b">
        <v>0</v>
      </c>
      <c r="AC27" s="191" t="e">
        <f ca="1">MATCH(TRUE,OFFSET(INDIRECT($AB$4),SUM($AC$7:$AC26),0,$AB$2-SUM($AC$7:$AC26)),0)</f>
        <v>#REF!</v>
      </c>
      <c r="AD27" s="177" t="str">
        <f ca="1">IF(ISERROR($AC27),"",INDEX(INDIRECT($AA$4),SUM($AC$7:$AC27)))</f>
        <v/>
      </c>
      <c r="AF27" s="177" t="str">
        <f t="shared" ca="1" si="0"/>
        <v/>
      </c>
      <c r="AG27" s="188" t="b">
        <v>0</v>
      </c>
      <c r="AH27" s="191" t="e">
        <f ca="1">MATCH(TRUE,OFFSET(INDIRECT($AG$4),SUM($AH$7:$AH26),0,$AG$2-SUM($AH$7:$AH26)),0)</f>
        <v>#N/A</v>
      </c>
      <c r="AI27" s="177" t="str">
        <f ca="1">IF(ISERROR($AH27),"",INDEX(INDIRECT($AF$4),SUM($AH$7:$AH27)))</f>
        <v/>
      </c>
    </row>
    <row r="28" spans="1:35" x14ac:dyDescent="0.3">
      <c r="B28" s="168"/>
      <c r="C28" s="174" t="b">
        <v>0</v>
      </c>
      <c r="D28" s="177" t="e">
        <f ca="1">MATCH(TRUE,OFFSET(INDIRECT($C$4),SUM($D$7:$D27),0,$C$2-SUM($D$7:$D27)),0)</f>
        <v>#REF!</v>
      </c>
      <c r="E28" s="177" t="str">
        <f ca="1">IF(ISERROR($D28),"",INDEX(INDIRECT($B$4),SUM($D$7:$D28)))</f>
        <v/>
      </c>
      <c r="F28" s="163">
        <f t="shared" si="1"/>
        <v>22</v>
      </c>
      <c r="G28" s="168"/>
      <c r="H28" s="188" t="b">
        <v>0</v>
      </c>
      <c r="I28" s="191" t="e">
        <f ca="1">MATCH(TRUE,OFFSET(INDIRECT($H$4),SUM($I$7:$I27),0,$H$2-SUM($I$7:$I27)),0)</f>
        <v>#REF!</v>
      </c>
      <c r="J28" s="177" t="str">
        <f ca="1">IF(ISERROR($I28),"",INDEX(INDIRECT($G$4),SUM($I$7:$I28)))</f>
        <v/>
      </c>
      <c r="L28" s="169"/>
      <c r="M28" s="188" t="b">
        <v>0</v>
      </c>
      <c r="N28" s="177" t="e">
        <f ca="1">MATCH(TRUE,OFFSET(INDIRECT($M$4),SUM($N$7:$N27),0,$M$2-SUM($N$7:$N27)),0)</f>
        <v>#N/A</v>
      </c>
      <c r="O28" s="177" t="str">
        <f ca="1">IF(ISERROR($N28),"",INDEX(INDIRECT($L$4),SUM($N$7:$N28)))</f>
        <v/>
      </c>
      <c r="P28" s="217"/>
      <c r="Q28" s="215"/>
      <c r="V28" s="169" t="s">
        <v>665</v>
      </c>
      <c r="W28" s="174" t="b">
        <v>1</v>
      </c>
      <c r="X28" s="191">
        <f ca="1">MATCH(TRUE,OFFSET(INDIRECT($W$4),SUM($X$7:$X27),0,$W$2-SUM($X$7:$X27)),0)</f>
        <v>1</v>
      </c>
      <c r="Y28" s="177" t="str">
        <f ca="1">IF(ISERROR($X28),"",INDEX(INDIRECT($V$4),SUM($X$7:$X28)))</f>
        <v>QCA9892</v>
      </c>
      <c r="AA28" s="169"/>
      <c r="AB28" s="188" t="b">
        <v>0</v>
      </c>
      <c r="AC28" s="191" t="e">
        <f ca="1">MATCH(TRUE,OFFSET(INDIRECT($AB$4),SUM($AC$7:$AC27),0,$AB$2-SUM($AC$7:$AC27)),0)</f>
        <v>#REF!</v>
      </c>
      <c r="AD28" s="177" t="str">
        <f ca="1">IF(ISERROR($AC28),"",INDEX(INDIRECT($AA$4),SUM($AC$7:$AC28)))</f>
        <v/>
      </c>
      <c r="AF28" s="177" t="str">
        <f t="shared" ca="1" si="0"/>
        <v/>
      </c>
      <c r="AG28" s="188" t="b">
        <v>0</v>
      </c>
      <c r="AH28" s="191" t="e">
        <f ca="1">MATCH(TRUE,OFFSET(INDIRECT($AG$4),SUM($AH$7:$AH27),0,$AG$2-SUM($AH$7:$AH27)),0)</f>
        <v>#N/A</v>
      </c>
      <c r="AI28" s="177" t="str">
        <f ca="1">IF(ISERROR($AH28),"",INDEX(INDIRECT($AF$4),SUM($AH$7:$AH28)))</f>
        <v/>
      </c>
    </row>
    <row r="29" spans="1:35" x14ac:dyDescent="0.3">
      <c r="B29" s="168"/>
      <c r="C29" s="174" t="b">
        <v>0</v>
      </c>
      <c r="D29" s="177" t="e">
        <f ca="1">MATCH(TRUE,OFFSET(INDIRECT($C$4),SUM($D$7:$D28),0,$C$2-SUM($D$7:$D28)),0)</f>
        <v>#REF!</v>
      </c>
      <c r="E29" s="177" t="str">
        <f ca="1">IF(ISERROR($D29),"",INDEX(INDIRECT($B$4),SUM($D$7:$D29)))</f>
        <v/>
      </c>
      <c r="F29" s="163">
        <f t="shared" si="1"/>
        <v>23</v>
      </c>
      <c r="G29" s="168"/>
      <c r="H29" s="188" t="b">
        <v>0</v>
      </c>
      <c r="I29" s="191" t="e">
        <f ca="1">MATCH(TRUE,OFFSET(INDIRECT($H$4),SUM($I$7:$I28),0,$H$2-SUM($I$7:$I28)),0)</f>
        <v>#REF!</v>
      </c>
      <c r="J29" s="177" t="str">
        <f ca="1">IF(ISERROR($I29),"",INDEX(INDIRECT($G$4),SUM($I$7:$I29)))</f>
        <v/>
      </c>
      <c r="L29" s="169"/>
      <c r="M29" s="188" t="b">
        <v>0</v>
      </c>
      <c r="N29" s="177" t="e">
        <f ca="1">MATCH(TRUE,OFFSET(INDIRECT($M$4),SUM($N$7:$N28),0,$M$2-SUM($N$7:$N28)),0)</f>
        <v>#N/A</v>
      </c>
      <c r="O29" s="177" t="str">
        <f ca="1">IF(ISERROR($N29),"",INDEX(INDIRECT($L$4),SUM($N$7:$N29)))</f>
        <v/>
      </c>
      <c r="P29" s="217"/>
      <c r="Q29" s="215"/>
      <c r="V29" s="169" t="s">
        <v>684</v>
      </c>
      <c r="W29" s="174" t="b">
        <v>1</v>
      </c>
      <c r="X29" s="191">
        <f ca="1">MATCH(TRUE,OFFSET(INDIRECT($W$4),SUM($X$7:$X28),0,$W$2-SUM($X$7:$X28)),0)</f>
        <v>1</v>
      </c>
      <c r="Y29" s="177" t="str">
        <f ca="1">IF(ISERROR($X29),"",INDEX(INDIRECT($V$4),SUM($X$7:$X29)))</f>
        <v>QCA9994 (2,4 GHz)</v>
      </c>
      <c r="AA29" s="169"/>
      <c r="AB29" s="188" t="b">
        <v>0</v>
      </c>
      <c r="AC29" s="191" t="e">
        <f ca="1">MATCH(TRUE,OFFSET(INDIRECT($AB$4),SUM($AC$7:$AC28),0,$AB$2-SUM($AC$7:$AC28)),0)</f>
        <v>#REF!</v>
      </c>
      <c r="AD29" s="177" t="str">
        <f ca="1">IF(ISERROR($AC29),"",INDEX(INDIRECT($AA$4),SUM($AC$7:$AC29)))</f>
        <v/>
      </c>
      <c r="AF29" s="177" t="str">
        <f t="shared" ca="1" si="0"/>
        <v/>
      </c>
      <c r="AG29" s="188" t="b">
        <v>0</v>
      </c>
      <c r="AH29" s="191" t="e">
        <f ca="1">MATCH(TRUE,OFFSET(INDIRECT($AG$4),SUM($AH$7:$AH28),0,$AG$2-SUM($AH$7:$AH28)),0)</f>
        <v>#N/A</v>
      </c>
      <c r="AI29" s="177" t="str">
        <f ca="1">IF(ISERROR($AH29),"",INDEX(INDIRECT($AF$4),SUM($AH$7:$AH29)))</f>
        <v/>
      </c>
    </row>
    <row r="30" spans="1:35" x14ac:dyDescent="0.3">
      <c r="B30" s="168"/>
      <c r="C30" s="174" t="b">
        <v>0</v>
      </c>
      <c r="D30" s="177" t="e">
        <f ca="1">MATCH(TRUE,OFFSET(INDIRECT($C$4),SUM($D$7:$D29),0,$C$2-SUM($D$7:$D29)),0)</f>
        <v>#REF!</v>
      </c>
      <c r="E30" s="177" t="str">
        <f ca="1">IF(ISERROR($D30),"",INDEX(INDIRECT($B$4),SUM($D$7:$D30)))</f>
        <v/>
      </c>
      <c r="F30" s="163">
        <f t="shared" si="1"/>
        <v>24</v>
      </c>
      <c r="G30" s="168"/>
      <c r="H30" s="188" t="b">
        <v>0</v>
      </c>
      <c r="I30" s="191" t="e">
        <f ca="1">MATCH(TRUE,OFFSET(INDIRECT($H$4),SUM($I$7:$I29),0,$H$2-SUM($I$7:$I29)),0)</f>
        <v>#REF!</v>
      </c>
      <c r="J30" s="177" t="str">
        <f ca="1">IF(ISERROR($I30),"",INDEX(INDIRECT($G$4),SUM($I$7:$I30)))</f>
        <v/>
      </c>
      <c r="L30" s="169"/>
      <c r="M30" s="188" t="b">
        <v>0</v>
      </c>
      <c r="N30" s="177" t="e">
        <f ca="1">MATCH(TRUE,OFFSET(INDIRECT($M$4),SUM($N$7:$N29),0,$M$2-SUM($N$7:$N29)),0)</f>
        <v>#N/A</v>
      </c>
      <c r="O30" s="177" t="str">
        <f ca="1">IF(ISERROR($N30),"",INDEX(INDIRECT($L$4),SUM($N$7:$N30)))</f>
        <v/>
      </c>
      <c r="P30" s="217"/>
      <c r="Q30" s="215"/>
      <c r="V30" s="169" t="s">
        <v>686</v>
      </c>
      <c r="W30" s="174" t="b">
        <v>1</v>
      </c>
      <c r="X30" s="191">
        <f ca="1">MATCH(TRUE,OFFSET(INDIRECT($W$4),SUM($X$7:$X29),0,$W$2-SUM($X$7:$X29)),0)</f>
        <v>1</v>
      </c>
      <c r="Y30" s="177" t="str">
        <f ca="1">IF(ISERROR($X30),"",INDEX(INDIRECT($V$4),SUM($X$7:$X30)))</f>
        <v>QCA9994 (5 GHz)</v>
      </c>
      <c r="AA30" s="169"/>
      <c r="AB30" s="188" t="b">
        <v>0</v>
      </c>
      <c r="AC30" s="191" t="e">
        <f ca="1">MATCH(TRUE,OFFSET(INDIRECT($AB$4),SUM($AC$7:$AC29),0,$AB$2-SUM($AC$7:$AC29)),0)</f>
        <v>#REF!</v>
      </c>
      <c r="AD30" s="177" t="str">
        <f ca="1">IF(ISERROR($AC30),"",INDEX(INDIRECT($AA$4),SUM($AC$7:$AC30)))</f>
        <v/>
      </c>
      <c r="AF30" s="177" t="str">
        <f t="shared" ca="1" si="0"/>
        <v/>
      </c>
      <c r="AG30" s="188" t="b">
        <v>0</v>
      </c>
      <c r="AH30" s="191" t="e">
        <f ca="1">MATCH(TRUE,OFFSET(INDIRECT($AG$4),SUM($AH$7:$AH29),0,$AG$2-SUM($AH$7:$AH29)),0)</f>
        <v>#N/A</v>
      </c>
      <c r="AI30" s="177" t="str">
        <f ca="1">IF(ISERROR($AH30),"",INDEX(INDIRECT($AF$4),SUM($AH$7:$AH30)))</f>
        <v/>
      </c>
    </row>
    <row r="31" spans="1:35" x14ac:dyDescent="0.3">
      <c r="B31" s="196"/>
      <c r="C31" s="174" t="b">
        <v>0</v>
      </c>
      <c r="D31" s="177" t="e">
        <f ca="1">MATCH(TRUE,OFFSET(INDIRECT($C$4),SUM($D$7:$D30),0,$C$2-SUM($D$7:$D30)),0)</f>
        <v>#REF!</v>
      </c>
      <c r="E31" s="177" t="str">
        <f ca="1">IF(ISERROR($D31),"",INDEX(INDIRECT($B$4),SUM($D$7:$D31)))</f>
        <v/>
      </c>
      <c r="F31" s="163">
        <f t="shared" si="1"/>
        <v>25</v>
      </c>
      <c r="G31" s="168"/>
      <c r="H31" s="188" t="b">
        <v>0</v>
      </c>
      <c r="I31" s="191" t="e">
        <f ca="1">MATCH(TRUE,OFFSET(INDIRECT($H$4),SUM($I$7:$I30),0,$H$2-SUM($I$7:$I30)),0)</f>
        <v>#REF!</v>
      </c>
      <c r="J31" s="177" t="str">
        <f ca="1">IF(ISERROR($I31),"",INDEX(INDIRECT($G$4),SUM($I$7:$I31)))</f>
        <v/>
      </c>
      <c r="L31" s="169"/>
      <c r="M31" s="188" t="b">
        <v>0</v>
      </c>
      <c r="N31" s="177" t="e">
        <f ca="1">MATCH(TRUE,OFFSET(INDIRECT($M$4),SUM($N$7:$N30),0,$M$2-SUM($N$7:$N30)),0)</f>
        <v>#N/A</v>
      </c>
      <c r="O31" s="177" t="str">
        <f ca="1">IF(ISERROR($N31),"",INDEX(INDIRECT($L$4),SUM($N$7:$N31)))</f>
        <v/>
      </c>
      <c r="P31" s="217"/>
      <c r="Q31" s="215"/>
      <c r="V31" s="169"/>
      <c r="W31" s="174" t="b">
        <v>0</v>
      </c>
      <c r="X31" s="191" t="e">
        <f ca="1">MATCH(TRUE,OFFSET(INDIRECT($W$4),SUM($X$7:$X30),0,$W$2-SUM($X$7:$X30)),0)</f>
        <v>#REF!</v>
      </c>
      <c r="Y31" s="177" t="str">
        <f ca="1">IF(ISERROR($X31),"",INDEX(INDIRECT($V$4),SUM($X$7:$X31)))</f>
        <v/>
      </c>
      <c r="AA31" s="169"/>
      <c r="AB31" s="188" t="b">
        <v>0</v>
      </c>
      <c r="AC31" s="191" t="e">
        <f ca="1">MATCH(TRUE,OFFSET(INDIRECT($AB$4),SUM($AC$7:$AC30),0,$AB$2-SUM($AC$7:$AC30)),0)</f>
        <v>#REF!</v>
      </c>
      <c r="AD31" s="177" t="str">
        <f ca="1">IF(ISERROR($AC31),"",INDEX(INDIRECT($AA$4),SUM($AC$7:$AC31)))</f>
        <v/>
      </c>
      <c r="AF31" s="177" t="str">
        <f t="shared" ca="1" si="0"/>
        <v/>
      </c>
      <c r="AG31" s="188" t="b">
        <v>0</v>
      </c>
      <c r="AH31" s="191" t="e">
        <f ca="1">MATCH(TRUE,OFFSET(INDIRECT($AG$4),SUM($AH$7:$AH30),0,$AG$2-SUM($AH$7:$AH30)),0)</f>
        <v>#N/A</v>
      </c>
      <c r="AI31" s="177" t="str">
        <f ca="1">IF(ISERROR($AH31),"",INDEX(INDIRECT($AF$4),SUM($AH$7:$AH31)))</f>
        <v/>
      </c>
    </row>
    <row r="32" spans="1:35" x14ac:dyDescent="0.3">
      <c r="B32" s="169"/>
      <c r="C32" s="174" t="b">
        <v>0</v>
      </c>
      <c r="D32" s="177" t="e">
        <f ca="1">MATCH(TRUE,OFFSET(INDIRECT($C$4),SUM($D$7:$D31),0,$C$2-SUM($D$7:$D31)),0)</f>
        <v>#REF!</v>
      </c>
      <c r="E32" s="177" t="str">
        <f ca="1">IF(ISERROR($D32),"",INDEX(INDIRECT($B$4),SUM($D$7:$D32)))</f>
        <v/>
      </c>
      <c r="F32" s="163">
        <f t="shared" si="1"/>
        <v>26</v>
      </c>
      <c r="G32" s="168"/>
      <c r="H32" s="188" t="b">
        <v>0</v>
      </c>
      <c r="I32" s="191" t="e">
        <f ca="1">MATCH(TRUE,OFFSET(INDIRECT($H$4),SUM($I$7:$I31),0,$H$2-SUM($I$7:$I31)),0)</f>
        <v>#REF!</v>
      </c>
      <c r="J32" s="177" t="str">
        <f ca="1">IF(ISERROR($I32),"",INDEX(INDIRECT($G$4),SUM($I$7:$I32)))</f>
        <v/>
      </c>
      <c r="L32" s="169"/>
      <c r="M32" s="188" t="b">
        <v>0</v>
      </c>
      <c r="N32" s="177" t="e">
        <f ca="1">MATCH(TRUE,OFFSET(INDIRECT($M$4),SUM($N$7:$N31),0,$M$2-SUM($N$7:$N31)),0)</f>
        <v>#N/A</v>
      </c>
      <c r="O32" s="177" t="str">
        <f ca="1">IF(ISERROR($N32),"",INDEX(INDIRECT($L$4),SUM($N$7:$N32)))</f>
        <v/>
      </c>
      <c r="P32" s="217"/>
      <c r="Q32" s="215"/>
      <c r="V32" s="169"/>
      <c r="W32" s="174" t="b">
        <v>0</v>
      </c>
      <c r="X32" s="191" t="e">
        <f ca="1">MATCH(TRUE,OFFSET(INDIRECT($W$4),SUM($X$7:$X31),0,$W$2-SUM($X$7:$X31)),0)</f>
        <v>#REF!</v>
      </c>
      <c r="Y32" s="177" t="str">
        <f ca="1">IF(ISERROR($X32),"",INDEX(INDIRECT($V$4),SUM($X$7:$X32)))</f>
        <v/>
      </c>
      <c r="AA32" s="169"/>
      <c r="AB32" s="188" t="b">
        <v>0</v>
      </c>
      <c r="AC32" s="191" t="e">
        <f ca="1">MATCH(TRUE,OFFSET(INDIRECT($AB$4),SUM($AC$7:$AC31),0,$AB$2-SUM($AC$7:$AC31)),0)</f>
        <v>#REF!</v>
      </c>
      <c r="AD32" s="177" t="str">
        <f ca="1">IF(ISERROR($AC32),"",INDEX(INDIRECT($AA$4),SUM($AC$7:$AC32)))</f>
        <v/>
      </c>
      <c r="AF32" s="177" t="str">
        <f t="shared" ca="1" si="0"/>
        <v/>
      </c>
      <c r="AG32" s="188" t="b">
        <v>0</v>
      </c>
      <c r="AH32" s="191" t="e">
        <f ca="1">MATCH(TRUE,OFFSET(INDIRECT($AG$4),SUM($AH$7:$AH31),0,$AG$2-SUM($AH$7:$AH31)),0)</f>
        <v>#N/A</v>
      </c>
      <c r="AI32" s="177" t="str">
        <f ca="1">IF(ISERROR($AH32),"",INDEX(INDIRECT($AF$4),SUM($AH$7:$AH32)))</f>
        <v/>
      </c>
    </row>
    <row r="33" spans="2:35" x14ac:dyDescent="0.3">
      <c r="B33" s="169"/>
      <c r="C33" s="174" t="b">
        <v>0</v>
      </c>
      <c r="D33" s="177" t="e">
        <f ca="1">MATCH(TRUE,OFFSET(INDIRECT($C$4),SUM($D$7:$D32),0,$C$2-SUM($D$7:$D32)),0)</f>
        <v>#REF!</v>
      </c>
      <c r="E33" s="177" t="str">
        <f ca="1">IF(ISERROR($D33),"",INDEX(INDIRECT($B$4),SUM($D$7:$D33)))</f>
        <v/>
      </c>
      <c r="F33" s="163">
        <f t="shared" si="1"/>
        <v>27</v>
      </c>
      <c r="G33" s="168"/>
      <c r="H33" s="188" t="b">
        <v>0</v>
      </c>
      <c r="I33" s="191" t="e">
        <f ca="1">MATCH(TRUE,OFFSET(INDIRECT($H$4),SUM($I$7:$I32),0,$H$2-SUM($I$7:$I32)),0)</f>
        <v>#REF!</v>
      </c>
      <c r="J33" s="177" t="str">
        <f ca="1">IF(ISERROR($I33),"",INDEX(INDIRECT($G$4),SUM($I$7:$I33)))</f>
        <v/>
      </c>
      <c r="L33" s="169"/>
      <c r="M33" s="188" t="b">
        <v>0</v>
      </c>
      <c r="N33" s="177" t="e">
        <f ca="1">MATCH(TRUE,OFFSET(INDIRECT($M$4),SUM($N$7:$N32),0,$M$2-SUM($N$7:$N32)),0)</f>
        <v>#N/A</v>
      </c>
      <c r="O33" s="177" t="str">
        <f ca="1">IF(ISERROR($N33),"",INDEX(INDIRECT($L$4),SUM($N$7:$N33)))</f>
        <v/>
      </c>
      <c r="P33" s="217"/>
      <c r="Q33" s="215"/>
      <c r="V33" s="169"/>
      <c r="W33" s="174" t="b">
        <v>0</v>
      </c>
      <c r="X33" s="191" t="e">
        <f ca="1">MATCH(TRUE,OFFSET(INDIRECT($W$4),SUM($X$7:$X32),0,$W$2-SUM($X$7:$X32)),0)</f>
        <v>#REF!</v>
      </c>
      <c r="Y33" s="177" t="str">
        <f ca="1">IF(ISERROR($X33),"",INDEX(INDIRECT($V$4),SUM($X$7:$X33)))</f>
        <v/>
      </c>
      <c r="AA33" s="169"/>
      <c r="AB33" s="188" t="b">
        <v>0</v>
      </c>
      <c r="AC33" s="191" t="e">
        <f ca="1">MATCH(TRUE,OFFSET(INDIRECT($AB$4),SUM($AC$7:$AC32),0,$AB$2-SUM($AC$7:$AC32)),0)</f>
        <v>#REF!</v>
      </c>
      <c r="AD33" s="177" t="str">
        <f ca="1">IF(ISERROR($AC33),"",INDEX(INDIRECT($AA$4),SUM($AC$7:$AC33)))</f>
        <v/>
      </c>
      <c r="AF33" s="177" t="str">
        <f t="shared" ca="1" si="0"/>
        <v/>
      </c>
      <c r="AG33" s="188" t="b">
        <v>0</v>
      </c>
      <c r="AH33" s="191" t="e">
        <f ca="1">MATCH(TRUE,OFFSET(INDIRECT($AG$4),SUM($AH$7:$AH32),0,$AG$2-SUM($AH$7:$AH32)),0)</f>
        <v>#N/A</v>
      </c>
      <c r="AI33" s="177" t="str">
        <f ca="1">IF(ISERROR($AH33),"",INDEX(INDIRECT($AF$4),SUM($AH$7:$AH33)))</f>
        <v/>
      </c>
    </row>
    <row r="34" spans="2:35" x14ac:dyDescent="0.3">
      <c r="B34" s="169"/>
      <c r="C34" s="174" t="b">
        <v>0</v>
      </c>
      <c r="D34" s="177" t="e">
        <f ca="1">MATCH(TRUE,OFFSET(INDIRECT($C$4),SUM($D$7:$D33),0,$C$2-SUM($D$7:$D33)),0)</f>
        <v>#REF!</v>
      </c>
      <c r="E34" s="177" t="str">
        <f ca="1">IF(ISERROR($D34),"",INDEX(INDIRECT($B$4),SUM($D$7:$D34)))</f>
        <v/>
      </c>
      <c r="F34" s="163">
        <f t="shared" si="1"/>
        <v>28</v>
      </c>
      <c r="G34" s="168"/>
      <c r="H34" s="188" t="b">
        <v>0</v>
      </c>
      <c r="I34" s="191" t="e">
        <f ca="1">MATCH(TRUE,OFFSET(INDIRECT($H$4),SUM($I$7:$I33),0,$H$2-SUM($I$7:$I33)),0)</f>
        <v>#REF!</v>
      </c>
      <c r="J34" s="177" t="str">
        <f ca="1">IF(ISERROR($I34),"",INDEX(INDIRECT($G$4),SUM($I$7:$I34)))</f>
        <v/>
      </c>
      <c r="L34" s="169"/>
      <c r="M34" s="188" t="b">
        <v>0</v>
      </c>
      <c r="N34" s="177" t="e">
        <f ca="1">MATCH(TRUE,OFFSET(INDIRECT($M$4),SUM($N$7:$N33),0,$M$2-SUM($N$7:$N33)),0)</f>
        <v>#N/A</v>
      </c>
      <c r="O34" s="177" t="str">
        <f ca="1">IF(ISERROR($N34),"",INDEX(INDIRECT($L$4),SUM($N$7:$N34)))</f>
        <v/>
      </c>
      <c r="P34" s="217"/>
      <c r="Q34" s="215"/>
      <c r="V34" s="169"/>
      <c r="W34" s="174" t="b">
        <v>0</v>
      </c>
      <c r="X34" s="191" t="e">
        <f ca="1">MATCH(TRUE,OFFSET(INDIRECT($W$4),SUM($X$7:$X33),0,$W$2-SUM($X$7:$X33)),0)</f>
        <v>#REF!</v>
      </c>
      <c r="Y34" s="177" t="str">
        <f ca="1">IF(ISERROR($X34),"",INDEX(INDIRECT($V$4),SUM($X$7:$X34)))</f>
        <v/>
      </c>
      <c r="AA34" s="169"/>
      <c r="AB34" s="188" t="b">
        <v>0</v>
      </c>
      <c r="AC34" s="191" t="e">
        <f ca="1">MATCH(TRUE,OFFSET(INDIRECT($AB$4),SUM($AC$7:$AC33),0,$AB$2-SUM($AC$7:$AC33)),0)</f>
        <v>#REF!</v>
      </c>
      <c r="AD34" s="177" t="str">
        <f ca="1">IF(ISERROR($AC34),"",INDEX(INDIRECT($AA$4),SUM($AC$7:$AC34)))</f>
        <v/>
      </c>
      <c r="AF34" s="177" t="str">
        <f t="shared" ca="1" si="0"/>
        <v/>
      </c>
      <c r="AG34" s="188" t="b">
        <v>0</v>
      </c>
      <c r="AH34" s="191" t="e">
        <f ca="1">MATCH(TRUE,OFFSET(INDIRECT($AG$4),SUM($AH$7:$AH33),0,$AG$2-SUM($AH$7:$AH33)),0)</f>
        <v>#N/A</v>
      </c>
      <c r="AI34" s="177" t="str">
        <f ca="1">IF(ISERROR($AH34),"",INDEX(INDIRECT($AF$4),SUM($AH$7:$AH34)))</f>
        <v/>
      </c>
    </row>
    <row r="35" spans="2:35" x14ac:dyDescent="0.3">
      <c r="B35" s="169"/>
      <c r="C35" s="174" t="b">
        <v>0</v>
      </c>
      <c r="D35" s="177" t="e">
        <f ca="1">MATCH(TRUE,OFFSET(INDIRECT($C$4),SUM($D$7:$D34),0,$C$2-SUM($D$7:$D34)),0)</f>
        <v>#REF!</v>
      </c>
      <c r="E35" s="177" t="str">
        <f ca="1">IF(ISERROR($D35),"",INDEX(INDIRECT($B$4),SUM($D$7:$D35)))</f>
        <v/>
      </c>
      <c r="F35" s="163">
        <f t="shared" si="1"/>
        <v>29</v>
      </c>
      <c r="G35" s="168"/>
      <c r="H35" s="188" t="b">
        <v>0</v>
      </c>
      <c r="I35" s="191" t="e">
        <f ca="1">MATCH(TRUE,OFFSET(INDIRECT($H$4),SUM($I$7:$I34),0,$H$2-SUM($I$7:$I34)),0)</f>
        <v>#REF!</v>
      </c>
      <c r="J35" s="177" t="str">
        <f ca="1">IF(ISERROR($I35),"",INDEX(INDIRECT($G$4),SUM($I$7:$I35)))</f>
        <v/>
      </c>
      <c r="L35" s="169"/>
      <c r="M35" s="188" t="b">
        <v>0</v>
      </c>
      <c r="N35" s="177" t="e">
        <f ca="1">MATCH(TRUE,OFFSET(INDIRECT($M$4),SUM($N$7:$N34),0,$M$2-SUM($N$7:$N34)),0)</f>
        <v>#N/A</v>
      </c>
      <c r="O35" s="177" t="str">
        <f ca="1">IF(ISERROR($N35),"",INDEX(INDIRECT($L$4),SUM($N$7:$N35)))</f>
        <v/>
      </c>
      <c r="P35" s="217"/>
      <c r="Q35" s="215"/>
      <c r="V35" s="169"/>
      <c r="W35" s="174" t="b">
        <v>0</v>
      </c>
      <c r="X35" s="191" t="e">
        <f ca="1">MATCH(TRUE,OFFSET(INDIRECT($W$4),SUM($X$7:$X34),0,$W$2-SUM($X$7:$X34)),0)</f>
        <v>#REF!</v>
      </c>
      <c r="Y35" s="177" t="str">
        <f ca="1">IF(ISERROR($X35),"",INDEX(INDIRECT($V$4),SUM($X$7:$X35)))</f>
        <v/>
      </c>
      <c r="AA35" s="169"/>
      <c r="AB35" s="188" t="b">
        <v>0</v>
      </c>
      <c r="AC35" s="191" t="e">
        <f ca="1">MATCH(TRUE,OFFSET(INDIRECT($AB$4),SUM($AC$7:$AC34),0,$AB$2-SUM($AC$7:$AC34)),0)</f>
        <v>#REF!</v>
      </c>
      <c r="AD35" s="177" t="str">
        <f ca="1">IF(ISERROR($AC35),"",INDEX(INDIRECT($AA$4),SUM($AC$7:$AC35)))</f>
        <v/>
      </c>
      <c r="AF35" s="177" t="str">
        <f t="shared" ca="1" si="0"/>
        <v/>
      </c>
      <c r="AG35" s="188" t="b">
        <v>0</v>
      </c>
      <c r="AH35" s="191" t="e">
        <f ca="1">MATCH(TRUE,OFFSET(INDIRECT($AG$4),SUM($AH$7:$AH34),0,$AG$2-SUM($AH$7:$AH34)),0)</f>
        <v>#N/A</v>
      </c>
      <c r="AI35" s="177" t="str">
        <f ca="1">IF(ISERROR($AH35),"",INDEX(INDIRECT($AF$4),SUM($AH$7:$AH35)))</f>
        <v/>
      </c>
    </row>
    <row r="36" spans="2:35" x14ac:dyDescent="0.3">
      <c r="B36" s="169"/>
      <c r="C36" s="174" t="b">
        <v>0</v>
      </c>
      <c r="D36" s="177" t="e">
        <f ca="1">MATCH(TRUE,OFFSET(INDIRECT($C$4),SUM($D$7:$D35),0,$C$2-SUM($D$7:$D35)),0)</f>
        <v>#REF!</v>
      </c>
      <c r="E36" s="177" t="str">
        <f ca="1">IF(ISERROR($D36),"",INDEX(INDIRECT($B$4),SUM($D$7:$D36)))</f>
        <v/>
      </c>
      <c r="F36" s="163">
        <f t="shared" si="1"/>
        <v>30</v>
      </c>
      <c r="G36" s="168"/>
      <c r="H36" s="188" t="b">
        <v>0</v>
      </c>
      <c r="I36" s="191" t="e">
        <f ca="1">MATCH(TRUE,OFFSET(INDIRECT($H$4),SUM($I$7:$I35),0,$H$2-SUM($I$7:$I35)),0)</f>
        <v>#REF!</v>
      </c>
      <c r="J36" s="177" t="str">
        <f ca="1">IF(ISERROR($I36),"",INDEX(INDIRECT($G$4),SUM($I$7:$I36)))</f>
        <v/>
      </c>
      <c r="L36" s="169"/>
      <c r="M36" s="188" t="b">
        <v>0</v>
      </c>
      <c r="N36" s="177" t="e">
        <f ca="1">MATCH(TRUE,OFFSET(INDIRECT($M$4),SUM($N$7:$N35),0,$M$2-SUM($N$7:$N35)),0)</f>
        <v>#N/A</v>
      </c>
      <c r="O36" s="177" t="str">
        <f ca="1">IF(ISERROR($N36),"",INDEX(INDIRECT($L$4),SUM($N$7:$N36)))</f>
        <v/>
      </c>
      <c r="P36" s="217"/>
      <c r="Q36" s="215"/>
      <c r="V36" s="169"/>
      <c r="W36" s="174" t="b">
        <v>0</v>
      </c>
      <c r="X36" s="191" t="e">
        <f ca="1">MATCH(TRUE,OFFSET(INDIRECT($W$4),SUM($X$7:$X35),0,$W$2-SUM($X$7:$X35)),0)</f>
        <v>#REF!</v>
      </c>
      <c r="Y36" s="177" t="str">
        <f ca="1">IF(ISERROR($X36),"",INDEX(INDIRECT($V$4),SUM($X$7:$X36)))</f>
        <v/>
      </c>
      <c r="AA36" s="169"/>
      <c r="AB36" s="188" t="b">
        <v>0</v>
      </c>
      <c r="AC36" s="191" t="e">
        <f ca="1">MATCH(TRUE,OFFSET(INDIRECT($AB$4),SUM($AC$7:$AC35),0,$AB$2-SUM($AC$7:$AC35)),0)</f>
        <v>#REF!</v>
      </c>
      <c r="AD36" s="177" t="str">
        <f ca="1">IF(ISERROR($AC36),"",INDEX(INDIRECT($AA$4),SUM($AC$7:$AC36)))</f>
        <v/>
      </c>
      <c r="AF36" s="177" t="str">
        <f t="shared" ca="1" si="0"/>
        <v/>
      </c>
      <c r="AG36" s="188" t="b">
        <v>0</v>
      </c>
      <c r="AH36" s="191" t="e">
        <f ca="1">MATCH(TRUE,OFFSET(INDIRECT($AG$4),SUM($AH$7:$AH35),0,$AG$2-SUM($AH$7:$AH35)),0)</f>
        <v>#N/A</v>
      </c>
      <c r="AI36" s="177" t="str">
        <f ca="1">IF(ISERROR($AH36),"",INDEX(INDIRECT($AF$4),SUM($AH$7:$AH36)))</f>
        <v/>
      </c>
    </row>
    <row r="37" spans="2:35" x14ac:dyDescent="0.3">
      <c r="B37" s="196"/>
      <c r="C37" s="174" t="b">
        <v>0</v>
      </c>
      <c r="D37" s="177" t="e">
        <f ca="1">MATCH(TRUE,OFFSET(INDIRECT($C$4),SUM($D$7:$D36),0,$C$2-SUM($D$7:$D36)),0)</f>
        <v>#REF!</v>
      </c>
      <c r="E37" s="177" t="str">
        <f ca="1">IF(ISERROR($D37),"",INDEX(INDIRECT($B$4),SUM($D$7:$D37)))</f>
        <v/>
      </c>
      <c r="F37" s="163">
        <f t="shared" si="1"/>
        <v>31</v>
      </c>
      <c r="G37" s="168"/>
      <c r="H37" s="188" t="b">
        <v>0</v>
      </c>
      <c r="I37" s="191" t="e">
        <f ca="1">MATCH(TRUE,OFFSET(INDIRECT($H$4),SUM($I$7:$I36),0,$H$2-SUM($I$7:$I36)),0)</f>
        <v>#REF!</v>
      </c>
      <c r="J37" s="177" t="str">
        <f ca="1">IF(ISERROR($I37),"",INDEX(INDIRECT($G$4),SUM($I$7:$I37)))</f>
        <v/>
      </c>
      <c r="L37" s="169"/>
      <c r="M37" s="188" t="b">
        <v>0</v>
      </c>
      <c r="N37" s="177" t="e">
        <f ca="1">MATCH(TRUE,OFFSET(INDIRECT($M$4),SUM($N$7:$N36),0,$M$2-SUM($N$7:$N36)),0)</f>
        <v>#N/A</v>
      </c>
      <c r="O37" s="177" t="str">
        <f ca="1">IF(ISERROR($N37),"",INDEX(INDIRECT($L$4),SUM($N$7:$N37)))</f>
        <v/>
      </c>
      <c r="P37" s="217"/>
      <c r="Q37" s="215"/>
      <c r="V37" s="169"/>
      <c r="W37" s="174" t="b">
        <v>0</v>
      </c>
      <c r="X37" s="191" t="e">
        <f ca="1">MATCH(TRUE,OFFSET(INDIRECT($W$4),SUM($X$7:$X36),0,$W$2-SUM($X$7:$X36)),0)</f>
        <v>#REF!</v>
      </c>
      <c r="Y37" s="177" t="str">
        <f ca="1">IF(ISERROR($X37),"",INDEX(INDIRECT($V$4),SUM($X$7:$X37)))</f>
        <v/>
      </c>
      <c r="AA37" s="169"/>
      <c r="AB37" s="188" t="b">
        <v>0</v>
      </c>
      <c r="AC37" s="191" t="e">
        <f ca="1">MATCH(TRUE,OFFSET(INDIRECT($AB$4),SUM($AC$7:$AC36),0,$AB$2-SUM($AC$7:$AC36)),0)</f>
        <v>#REF!</v>
      </c>
      <c r="AD37" s="177" t="str">
        <f ca="1">IF(ISERROR($AC37),"",INDEX(INDIRECT($AA$4),SUM($AC$7:$AC37)))</f>
        <v/>
      </c>
      <c r="AF37" s="177" t="str">
        <f t="shared" ca="1" si="0"/>
        <v/>
      </c>
      <c r="AG37" s="188" t="b">
        <v>0</v>
      </c>
      <c r="AH37" s="191" t="e">
        <f ca="1">MATCH(TRUE,OFFSET(INDIRECT($AG$4),SUM($AH$7:$AH36),0,$AG$2-SUM($AH$7:$AH36)),0)</f>
        <v>#N/A</v>
      </c>
      <c r="AI37" s="177" t="str">
        <f ca="1">IF(ISERROR($AH37),"",INDEX(INDIRECT($AF$4),SUM($AH$7:$AH37)))</f>
        <v/>
      </c>
    </row>
    <row r="38" spans="2:35" x14ac:dyDescent="0.3">
      <c r="B38" s="169"/>
      <c r="C38" s="174" t="b">
        <v>0</v>
      </c>
      <c r="D38" s="177" t="e">
        <f ca="1">MATCH(TRUE,OFFSET(INDIRECT($C$4),SUM($D$7:$D37),0,$C$2-SUM($D$7:$D37)),0)</f>
        <v>#REF!</v>
      </c>
      <c r="E38" s="177" t="str">
        <f ca="1">IF(ISERROR($D38),"",INDEX(INDIRECT($B$4),SUM($D$7:$D38)))</f>
        <v/>
      </c>
      <c r="F38" s="163">
        <f t="shared" si="1"/>
        <v>32</v>
      </c>
      <c r="G38" s="168"/>
      <c r="H38" s="188" t="b">
        <v>0</v>
      </c>
      <c r="I38" s="191" t="e">
        <f ca="1">MATCH(TRUE,OFFSET(INDIRECT($H$4),SUM($I$7:$I37),0,$H$2-SUM($I$7:$I37)),0)</f>
        <v>#REF!</v>
      </c>
      <c r="J38" s="177" t="str">
        <f ca="1">IF(ISERROR($I38),"",INDEX(INDIRECT($G$4),SUM($I$7:$I38)))</f>
        <v/>
      </c>
      <c r="L38" s="169"/>
      <c r="M38" s="188" t="b">
        <v>0</v>
      </c>
      <c r="N38" s="177" t="e">
        <f ca="1">MATCH(TRUE,OFFSET(INDIRECT($M$4),SUM($N$7:$N37),0,$M$2-SUM($N$7:$N37)),0)</f>
        <v>#N/A</v>
      </c>
      <c r="O38" s="177" t="str">
        <f ca="1">IF(ISERROR($N38),"",INDEX(INDIRECT($L$4),SUM($N$7:$N38)))</f>
        <v/>
      </c>
      <c r="P38" s="217"/>
      <c r="Q38" s="215"/>
      <c r="V38" s="169"/>
      <c r="W38" s="174" t="b">
        <v>0</v>
      </c>
      <c r="X38" s="191" t="e">
        <f ca="1">MATCH(TRUE,OFFSET(INDIRECT($W$4),SUM($X$7:$X37),0,$W$2-SUM($X$7:$X37)),0)</f>
        <v>#REF!</v>
      </c>
      <c r="Y38" s="177" t="str">
        <f ca="1">IF(ISERROR($X38),"",INDEX(INDIRECT($V$4),SUM($X$7:$X38)))</f>
        <v/>
      </c>
      <c r="AA38" s="169"/>
      <c r="AB38" s="188" t="b">
        <v>0</v>
      </c>
      <c r="AC38" s="191" t="e">
        <f ca="1">MATCH(TRUE,OFFSET(INDIRECT($AB$4),SUM($AC$7:$AC37),0,$AB$2-SUM($AC$7:$AC37)),0)</f>
        <v>#REF!</v>
      </c>
      <c r="AD38" s="177" t="str">
        <f ca="1">IF(ISERROR($AC38),"",INDEX(INDIRECT($AA$4),SUM($AC$7:$AC38)))</f>
        <v/>
      </c>
      <c r="AF38" s="177" t="str">
        <f t="shared" ca="1" si="0"/>
        <v/>
      </c>
      <c r="AG38" s="188" t="b">
        <v>0</v>
      </c>
      <c r="AH38" s="191" t="e">
        <f ca="1">MATCH(TRUE,OFFSET(INDIRECT($AG$4),SUM($AH$7:$AH37),0,$AG$2-SUM($AH$7:$AH37)),0)</f>
        <v>#N/A</v>
      </c>
      <c r="AI38" s="177" t="str">
        <f ca="1">IF(ISERROR($AH38),"",INDEX(INDIRECT($AF$4),SUM($AH$7:$AH38)))</f>
        <v/>
      </c>
    </row>
    <row r="39" spans="2:35" x14ac:dyDescent="0.3">
      <c r="B39" s="169"/>
      <c r="C39" s="174" t="b">
        <v>0</v>
      </c>
      <c r="D39" s="177" t="e">
        <f ca="1">MATCH(TRUE,OFFSET(INDIRECT($C$4),SUM($D$7:$D38),0,$C$2-SUM($D$7:$D38)),0)</f>
        <v>#REF!</v>
      </c>
      <c r="E39" s="177" t="str">
        <f ca="1">IF(ISERROR($D39),"",INDEX(INDIRECT($B$4),SUM($D$7:$D39)))</f>
        <v/>
      </c>
      <c r="F39" s="163">
        <f t="shared" si="1"/>
        <v>33</v>
      </c>
      <c r="G39" s="168"/>
      <c r="H39" s="188" t="b">
        <v>0</v>
      </c>
      <c r="I39" s="191" t="e">
        <f ca="1">MATCH(TRUE,OFFSET(INDIRECT($H$4),SUM($I$7:$I38),0,$H$2-SUM($I$7:$I38)),0)</f>
        <v>#REF!</v>
      </c>
      <c r="J39" s="177" t="str">
        <f ca="1">IF(ISERROR($I39),"",INDEX(INDIRECT($G$4),SUM($I$7:$I39)))</f>
        <v/>
      </c>
      <c r="L39" s="169"/>
      <c r="M39" s="188" t="b">
        <v>0</v>
      </c>
      <c r="N39" s="177" t="e">
        <f ca="1">MATCH(TRUE,OFFSET(INDIRECT($M$4),SUM($N$7:$N38),0,$M$2-SUM($N$7:$N38)),0)</f>
        <v>#N/A</v>
      </c>
      <c r="O39" s="177" t="str">
        <f ca="1">IF(ISERROR($N39),"",INDEX(INDIRECT($L$4),SUM($N$7:$N39)))</f>
        <v/>
      </c>
      <c r="P39" s="217"/>
      <c r="Q39" s="215"/>
      <c r="V39" s="169"/>
      <c r="W39" s="174" t="b">
        <v>0</v>
      </c>
      <c r="X39" s="191" t="e">
        <f ca="1">MATCH(TRUE,OFFSET(INDIRECT($W$4),SUM($X$7:$X38),0,$W$2-SUM($X$7:$X38)),0)</f>
        <v>#REF!</v>
      </c>
      <c r="Y39" s="177" t="str">
        <f ca="1">IF(ISERROR($X39),"",INDEX(INDIRECT($V$4),SUM($X$7:$X39)))</f>
        <v/>
      </c>
      <c r="AA39" s="169"/>
      <c r="AB39" s="188" t="b">
        <v>0</v>
      </c>
      <c r="AC39" s="191" t="e">
        <f ca="1">MATCH(TRUE,OFFSET(INDIRECT($AB$4),SUM($AC$7:$AC38),0,$AB$2-SUM($AC$7:$AC38)),0)</f>
        <v>#REF!</v>
      </c>
      <c r="AD39" s="177" t="str">
        <f ca="1">IF(ISERROR($AC39),"",INDEX(INDIRECT($AA$4),SUM($AC$7:$AC39)))</f>
        <v/>
      </c>
      <c r="AF39" s="177" t="str">
        <f t="shared" ca="1" si="0"/>
        <v/>
      </c>
      <c r="AG39" s="188" t="b">
        <v>0</v>
      </c>
      <c r="AH39" s="191" t="e">
        <f ca="1">MATCH(TRUE,OFFSET(INDIRECT($AG$4),SUM($AH$7:$AH38),0,$AG$2-SUM($AH$7:$AH38)),0)</f>
        <v>#N/A</v>
      </c>
      <c r="AI39" s="177" t="str">
        <f ca="1">IF(ISERROR($AH39),"",INDEX(INDIRECT($AF$4),SUM($AH$7:$AH39)))</f>
        <v/>
      </c>
    </row>
    <row r="40" spans="2:35" x14ac:dyDescent="0.3">
      <c r="B40" s="169"/>
      <c r="C40" s="174" t="b">
        <v>0</v>
      </c>
      <c r="D40" s="177" t="e">
        <f ca="1">MATCH(TRUE,OFFSET(INDIRECT($C$4),SUM($D$7:$D39),0,$C$2-SUM($D$7:$D39)),0)</f>
        <v>#REF!</v>
      </c>
      <c r="E40" s="177" t="str">
        <f ca="1">IF(ISERROR($D40),"",INDEX(INDIRECT($B$4),SUM($D$7:$D40)))</f>
        <v/>
      </c>
      <c r="F40" s="163">
        <f t="shared" si="1"/>
        <v>34</v>
      </c>
      <c r="G40" s="168"/>
      <c r="H40" s="188" t="b">
        <v>0</v>
      </c>
      <c r="I40" s="191" t="e">
        <f ca="1">MATCH(TRUE,OFFSET(INDIRECT($H$4),SUM($I$7:$I39),0,$H$2-SUM($I$7:$I39)),0)</f>
        <v>#REF!</v>
      </c>
      <c r="J40" s="177" t="str">
        <f ca="1">IF(ISERROR($I40),"",INDEX(INDIRECT($G$4),SUM($I$7:$I40)))</f>
        <v/>
      </c>
      <c r="L40" s="169"/>
      <c r="M40" s="188" t="b">
        <v>0</v>
      </c>
      <c r="N40" s="177" t="e">
        <f ca="1">MATCH(TRUE,OFFSET(INDIRECT($M$4),SUM($N$7:$N39),0,$M$2-SUM($N$7:$N39)),0)</f>
        <v>#N/A</v>
      </c>
      <c r="O40" s="177" t="str">
        <f ca="1">IF(ISERROR($N40),"",INDEX(INDIRECT($L$4),SUM($N$7:$N40)))</f>
        <v/>
      </c>
      <c r="P40" s="217"/>
      <c r="Q40" s="215"/>
      <c r="V40" s="169"/>
      <c r="W40" s="174" t="b">
        <v>0</v>
      </c>
      <c r="X40" s="191" t="e">
        <f ca="1">MATCH(TRUE,OFFSET(INDIRECT($W$4),SUM($X$7:$X39),0,$W$2-SUM($X$7:$X39)),0)</f>
        <v>#REF!</v>
      </c>
      <c r="Y40" s="177" t="str">
        <f ca="1">IF(ISERROR($X40),"",INDEX(INDIRECT($V$4),SUM($X$7:$X40)))</f>
        <v/>
      </c>
      <c r="AA40" s="169"/>
      <c r="AB40" s="188" t="b">
        <v>0</v>
      </c>
      <c r="AC40" s="191" t="e">
        <f ca="1">MATCH(TRUE,OFFSET(INDIRECT($AB$4),SUM($AC$7:$AC39),0,$AB$2-SUM($AC$7:$AC39)),0)</f>
        <v>#REF!</v>
      </c>
      <c r="AD40" s="177" t="str">
        <f ca="1">IF(ISERROR($AC40),"",INDEX(INDIRECT($AA$4),SUM($AC$7:$AC40)))</f>
        <v/>
      </c>
      <c r="AF40" s="177" t="str">
        <f t="shared" ca="1" si="0"/>
        <v/>
      </c>
      <c r="AG40" s="188" t="b">
        <v>0</v>
      </c>
      <c r="AH40" s="191" t="e">
        <f ca="1">MATCH(TRUE,OFFSET(INDIRECT($AG$4),SUM($AH$7:$AH39),0,$AG$2-SUM($AH$7:$AH39)),0)</f>
        <v>#N/A</v>
      </c>
      <c r="AI40" s="177" t="str">
        <f ca="1">IF(ISERROR($AH40),"",INDEX(INDIRECT($AF$4),SUM($AH$7:$AH40)))</f>
        <v/>
      </c>
    </row>
    <row r="41" spans="2:35" x14ac:dyDescent="0.3">
      <c r="B41" s="169"/>
      <c r="C41" s="174" t="b">
        <v>0</v>
      </c>
      <c r="D41" s="177" t="e">
        <f ca="1">MATCH(TRUE,OFFSET(INDIRECT($C$4),SUM($D$7:$D40),0,$C$2-SUM($D$7:$D40)),0)</f>
        <v>#REF!</v>
      </c>
      <c r="E41" s="177" t="str">
        <f ca="1">IF(ISERROR($D41),"",INDEX(INDIRECT($B$4),SUM($D$7:$D41)))</f>
        <v/>
      </c>
      <c r="F41" s="163">
        <f t="shared" si="1"/>
        <v>35</v>
      </c>
      <c r="G41" s="168"/>
      <c r="H41" s="188" t="b">
        <v>0</v>
      </c>
      <c r="I41" s="191" t="e">
        <f ca="1">MATCH(TRUE,OFFSET(INDIRECT($H$4),SUM($I$7:$I40),0,$H$2-SUM($I$7:$I40)),0)</f>
        <v>#REF!</v>
      </c>
      <c r="J41" s="177" t="str">
        <f ca="1">IF(ISERROR($I41),"",INDEX(INDIRECT($G$4),SUM($I$7:$I41)))</f>
        <v/>
      </c>
      <c r="L41" s="169"/>
      <c r="M41" s="188" t="b">
        <v>0</v>
      </c>
      <c r="N41" s="177" t="e">
        <f ca="1">MATCH(TRUE,OFFSET(INDIRECT($M$4),SUM($N$7:$N40),0,$M$2-SUM($N$7:$N40)),0)</f>
        <v>#N/A</v>
      </c>
      <c r="O41" s="177" t="str">
        <f ca="1">IF(ISERROR($N41),"",INDEX(INDIRECT($L$4),SUM($N$7:$N41)))</f>
        <v/>
      </c>
      <c r="P41" s="217"/>
      <c r="Q41" s="215"/>
      <c r="V41" s="169"/>
      <c r="W41" s="174" t="b">
        <v>0</v>
      </c>
      <c r="X41" s="191" t="e">
        <f ca="1">MATCH(TRUE,OFFSET(INDIRECT($W$4),SUM($X$7:$X40),0,$W$2-SUM($X$7:$X40)),0)</f>
        <v>#REF!</v>
      </c>
      <c r="Y41" s="177" t="str">
        <f ca="1">IF(ISERROR($X41),"",INDEX(INDIRECT($V$4),SUM($X$7:$X41)))</f>
        <v/>
      </c>
      <c r="AA41" s="169"/>
      <c r="AB41" s="188" t="b">
        <v>0</v>
      </c>
      <c r="AC41" s="191" t="e">
        <f ca="1">MATCH(TRUE,OFFSET(INDIRECT($AB$4),SUM($AC$7:$AC40),0,$AB$2-SUM($AC$7:$AC40)),0)</f>
        <v>#REF!</v>
      </c>
      <c r="AD41" s="177" t="str">
        <f ca="1">IF(ISERROR($AC41),"",INDEX(INDIRECT($AA$4),SUM($AC$7:$AC41)))</f>
        <v/>
      </c>
      <c r="AF41" s="177" t="str">
        <f t="shared" ca="1" si="0"/>
        <v/>
      </c>
      <c r="AG41" s="188" t="b">
        <v>0</v>
      </c>
      <c r="AH41" s="191" t="e">
        <f ca="1">MATCH(TRUE,OFFSET(INDIRECT($AG$4),SUM($AH$7:$AH40),0,$AG$2-SUM($AH$7:$AH40)),0)</f>
        <v>#N/A</v>
      </c>
      <c r="AI41" s="177" t="str">
        <f ca="1">IF(ISERROR($AH41),"",INDEX(INDIRECT($AF$4),SUM($AH$7:$AH41)))</f>
        <v/>
      </c>
    </row>
    <row r="42" spans="2:35" x14ac:dyDescent="0.3">
      <c r="B42" s="169"/>
      <c r="C42" s="174" t="b">
        <v>0</v>
      </c>
      <c r="D42" s="177" t="e">
        <f ca="1">MATCH(TRUE,OFFSET(INDIRECT($C$4),SUM($D$7:$D41),0,$C$2-SUM($D$7:$D41)),0)</f>
        <v>#REF!</v>
      </c>
      <c r="E42" s="177" t="str">
        <f ca="1">IF(ISERROR($D42),"",INDEX(INDIRECT($B$4),SUM($D$7:$D42)))</f>
        <v/>
      </c>
      <c r="F42" s="163">
        <f t="shared" si="1"/>
        <v>36</v>
      </c>
      <c r="G42" s="168"/>
      <c r="H42" s="188" t="b">
        <v>0</v>
      </c>
      <c r="I42" s="191" t="e">
        <f ca="1">MATCH(TRUE,OFFSET(INDIRECT($H$4),SUM($I$7:$I41),0,$H$2-SUM($I$7:$I41)),0)</f>
        <v>#REF!</v>
      </c>
      <c r="J42" s="177" t="str">
        <f ca="1">IF(ISERROR($I42),"",INDEX(INDIRECT($G$4),SUM($I$7:$I42)))</f>
        <v/>
      </c>
      <c r="L42" s="169"/>
      <c r="M42" s="188" t="b">
        <v>0</v>
      </c>
      <c r="N42" s="177" t="e">
        <f ca="1">MATCH(TRUE,OFFSET(INDIRECT($M$4),SUM($N$7:$N41),0,$M$2-SUM($N$7:$N41)),0)</f>
        <v>#N/A</v>
      </c>
      <c r="O42" s="177" t="str">
        <f ca="1">IF(ISERROR($N42),"",INDEX(INDIRECT($L$4),SUM($N$7:$N42)))</f>
        <v/>
      </c>
      <c r="P42" s="217"/>
      <c r="Q42" s="215"/>
      <c r="V42" s="169"/>
      <c r="W42" s="174" t="b">
        <v>0</v>
      </c>
      <c r="X42" s="191" t="e">
        <f ca="1">MATCH(TRUE,OFFSET(INDIRECT($W$4),SUM($X$7:$X41),0,$W$2-SUM($X$7:$X41)),0)</f>
        <v>#REF!</v>
      </c>
      <c r="Y42" s="177" t="str">
        <f ca="1">IF(ISERROR($X42),"",INDEX(INDIRECT($V$4),SUM($X$7:$X42)))</f>
        <v/>
      </c>
      <c r="AA42" s="169"/>
      <c r="AB42" s="188" t="b">
        <v>0</v>
      </c>
      <c r="AC42" s="191" t="e">
        <f ca="1">MATCH(TRUE,OFFSET(INDIRECT($AB$4),SUM($AC$7:$AC41),0,$AB$2-SUM($AC$7:$AC41)),0)</f>
        <v>#REF!</v>
      </c>
      <c r="AD42" s="177" t="str">
        <f ca="1">IF(ISERROR($AC42),"",INDEX(INDIRECT($AA$4),SUM($AC$7:$AC42)))</f>
        <v/>
      </c>
      <c r="AF42" s="177" t="str">
        <f t="shared" ca="1" si="0"/>
        <v/>
      </c>
      <c r="AG42" s="188" t="b">
        <v>0</v>
      </c>
      <c r="AH42" s="191" t="e">
        <f ca="1">MATCH(TRUE,OFFSET(INDIRECT($AG$4),SUM($AH$7:$AH41),0,$AG$2-SUM($AH$7:$AH41)),0)</f>
        <v>#N/A</v>
      </c>
      <c r="AI42" s="177" t="str">
        <f ca="1">IF(ISERROR($AH42),"",INDEX(INDIRECT($AF$4),SUM($AH$7:$AH42)))</f>
        <v/>
      </c>
    </row>
    <row r="43" spans="2:35" x14ac:dyDescent="0.3">
      <c r="B43" s="196"/>
      <c r="C43" s="174" t="b">
        <v>0</v>
      </c>
      <c r="D43" s="177" t="e">
        <f ca="1">MATCH(TRUE,OFFSET(INDIRECT($C$4),SUM($D$7:$D42),0,$C$2-SUM($D$7:$D42)),0)</f>
        <v>#REF!</v>
      </c>
      <c r="E43" s="177" t="str">
        <f ca="1">IF(ISERROR($D43),"",INDEX(INDIRECT($B$4),SUM($D$7:$D43)))</f>
        <v/>
      </c>
      <c r="F43" s="163">
        <f t="shared" si="1"/>
        <v>37</v>
      </c>
      <c r="G43" s="168"/>
      <c r="H43" s="188" t="b">
        <v>0</v>
      </c>
      <c r="I43" s="191" t="e">
        <f ca="1">MATCH(TRUE,OFFSET(INDIRECT($H$4),SUM($I$7:$I42),0,$H$2-SUM($I$7:$I42)),0)</f>
        <v>#REF!</v>
      </c>
      <c r="J43" s="177" t="str">
        <f ca="1">IF(ISERROR($I43),"",INDEX(INDIRECT($G$4),SUM($I$7:$I43)))</f>
        <v/>
      </c>
      <c r="L43" s="169"/>
      <c r="M43" s="188" t="b">
        <v>0</v>
      </c>
      <c r="N43" s="177" t="e">
        <f ca="1">MATCH(TRUE,OFFSET(INDIRECT($M$4),SUM($N$7:$N42),0,$M$2-SUM($N$7:$N42)),0)</f>
        <v>#N/A</v>
      </c>
      <c r="O43" s="177" t="str">
        <f ca="1">IF(ISERROR($N43),"",INDEX(INDIRECT($L$4),SUM($N$7:$N43)))</f>
        <v/>
      </c>
      <c r="P43" s="217"/>
      <c r="Q43" s="215"/>
      <c r="V43" s="169"/>
      <c r="W43" s="174" t="b">
        <v>0</v>
      </c>
      <c r="X43" s="191" t="e">
        <f ca="1">MATCH(TRUE,OFFSET(INDIRECT($W$4),SUM($X$7:$X42),0,$W$2-SUM($X$7:$X42)),0)</f>
        <v>#REF!</v>
      </c>
      <c r="Y43" s="177" t="str">
        <f ca="1">IF(ISERROR($X43),"",INDEX(INDIRECT($V$4),SUM($X$7:$X43)))</f>
        <v/>
      </c>
      <c r="AA43" s="169"/>
      <c r="AB43" s="188" t="b">
        <v>0</v>
      </c>
      <c r="AC43" s="191" t="e">
        <f ca="1">MATCH(TRUE,OFFSET(INDIRECT($AB$4),SUM($AC$7:$AC42),0,$AB$2-SUM($AC$7:$AC42)),0)</f>
        <v>#REF!</v>
      </c>
      <c r="AD43" s="177" t="str">
        <f ca="1">IF(ISERROR($AC43),"",INDEX(INDIRECT($AA$4),SUM($AC$7:$AC43)))</f>
        <v/>
      </c>
      <c r="AF43" s="177" t="str">
        <f t="shared" ca="1" si="0"/>
        <v/>
      </c>
      <c r="AG43" s="188" t="b">
        <v>0</v>
      </c>
      <c r="AH43" s="191" t="e">
        <f ca="1">MATCH(TRUE,OFFSET(INDIRECT($AG$4),SUM($AH$7:$AH42),0,$AG$2-SUM($AH$7:$AH42)),0)</f>
        <v>#N/A</v>
      </c>
      <c r="AI43" s="177" t="str">
        <f ca="1">IF(ISERROR($AH43),"",INDEX(INDIRECT($AF$4),SUM($AH$7:$AH43)))</f>
        <v/>
      </c>
    </row>
    <row r="44" spans="2:35" x14ac:dyDescent="0.3">
      <c r="B44" s="169"/>
      <c r="C44" s="174" t="b">
        <v>0</v>
      </c>
      <c r="D44" s="177" t="e">
        <f ca="1">MATCH(TRUE,OFFSET(INDIRECT($C$4),SUM($D$7:$D43),0,$C$2-SUM($D$7:$D43)),0)</f>
        <v>#REF!</v>
      </c>
      <c r="E44" s="177" t="str">
        <f ca="1">IF(ISERROR($D44),"",INDEX(INDIRECT($B$4),SUM($D$7:$D44)))</f>
        <v/>
      </c>
      <c r="F44" s="163">
        <f t="shared" si="1"/>
        <v>38</v>
      </c>
      <c r="G44" s="168"/>
      <c r="H44" s="188" t="b">
        <v>0</v>
      </c>
      <c r="I44" s="191" t="e">
        <f ca="1">MATCH(TRUE,OFFSET(INDIRECT($H$4),SUM($I$7:$I43),0,$H$2-SUM($I$7:$I43)),0)</f>
        <v>#REF!</v>
      </c>
      <c r="J44" s="177" t="str">
        <f ca="1">IF(ISERROR($I44),"",INDEX(INDIRECT($G$4),SUM($I$7:$I44)))</f>
        <v/>
      </c>
      <c r="L44" s="169"/>
      <c r="M44" s="188" t="b">
        <v>0</v>
      </c>
      <c r="N44" s="177" t="e">
        <f ca="1">MATCH(TRUE,OFFSET(INDIRECT($M$4),SUM($N$7:$N43),0,$M$2-SUM($N$7:$N43)),0)</f>
        <v>#N/A</v>
      </c>
      <c r="O44" s="177" t="str">
        <f ca="1">IF(ISERROR($N44),"",INDEX(INDIRECT($L$4),SUM($N$7:$N44)))</f>
        <v/>
      </c>
      <c r="P44" s="217"/>
      <c r="Q44" s="215"/>
      <c r="V44" s="169"/>
      <c r="W44" s="174" t="b">
        <v>0</v>
      </c>
      <c r="X44" s="191" t="e">
        <f ca="1">MATCH(TRUE,OFFSET(INDIRECT($W$4),SUM($X$7:$X43),0,$W$2-SUM($X$7:$X43)),0)</f>
        <v>#REF!</v>
      </c>
      <c r="Y44" s="177" t="str">
        <f ca="1">IF(ISERROR($X44),"",INDEX(INDIRECT($V$4),SUM($X$7:$X44)))</f>
        <v/>
      </c>
      <c r="AA44" s="169"/>
      <c r="AB44" s="188" t="b">
        <v>0</v>
      </c>
      <c r="AC44" s="191" t="e">
        <f ca="1">MATCH(TRUE,OFFSET(INDIRECT($AB$4),SUM($AC$7:$AC43),0,$AB$2-SUM($AC$7:$AC43)),0)</f>
        <v>#REF!</v>
      </c>
      <c r="AD44" s="177" t="str">
        <f ca="1">IF(ISERROR($AC44),"",INDEX(INDIRECT($AA$4),SUM($AC$7:$AC44)))</f>
        <v/>
      </c>
      <c r="AF44" s="177" t="str">
        <f t="shared" ca="1" si="0"/>
        <v/>
      </c>
      <c r="AG44" s="188" t="b">
        <v>0</v>
      </c>
      <c r="AH44" s="191" t="e">
        <f ca="1">MATCH(TRUE,OFFSET(INDIRECT($AG$4),SUM($AH$7:$AH43),0,$AG$2-SUM($AH$7:$AH43)),0)</f>
        <v>#N/A</v>
      </c>
      <c r="AI44" s="177" t="str">
        <f ca="1">IF(ISERROR($AH44),"",INDEX(INDIRECT($AF$4),SUM($AH$7:$AH44)))</f>
        <v/>
      </c>
    </row>
    <row r="45" spans="2:35" x14ac:dyDescent="0.3">
      <c r="B45" s="169"/>
      <c r="C45" s="174" t="b">
        <v>0</v>
      </c>
      <c r="D45" s="177" t="e">
        <f ca="1">MATCH(TRUE,OFFSET(INDIRECT($C$4),SUM($D$7:$D44),0,$C$2-SUM($D$7:$D44)),0)</f>
        <v>#REF!</v>
      </c>
      <c r="E45" s="177" t="str">
        <f ca="1">IF(ISERROR($D45),"",INDEX(INDIRECT($B$4),SUM($D$7:$D45)))</f>
        <v/>
      </c>
      <c r="F45" s="163">
        <f t="shared" si="1"/>
        <v>39</v>
      </c>
      <c r="G45" s="168"/>
      <c r="H45" s="188" t="b">
        <v>0</v>
      </c>
      <c r="I45" s="191" t="e">
        <f ca="1">MATCH(TRUE,OFFSET(INDIRECT($H$4),SUM($I$7:$I44),0,$H$2-SUM($I$7:$I44)),0)</f>
        <v>#REF!</v>
      </c>
      <c r="J45" s="177" t="str">
        <f ca="1">IF(ISERROR($I45),"",INDEX(INDIRECT($G$4),SUM($I$7:$I45)))</f>
        <v/>
      </c>
      <c r="L45" s="169"/>
      <c r="M45" s="188" t="b">
        <v>0</v>
      </c>
      <c r="N45" s="177" t="e">
        <f ca="1">MATCH(TRUE,OFFSET(INDIRECT($M$4),SUM($N$7:$N44),0,$M$2-SUM($N$7:$N44)),0)</f>
        <v>#N/A</v>
      </c>
      <c r="O45" s="177" t="str">
        <f ca="1">IF(ISERROR($N45),"",INDEX(INDIRECT($L$4),SUM($N$7:$N45)))</f>
        <v/>
      </c>
      <c r="P45" s="217"/>
      <c r="Q45" s="215"/>
      <c r="V45" s="169"/>
      <c r="W45" s="174" t="b">
        <v>0</v>
      </c>
      <c r="X45" s="191" t="e">
        <f ca="1">MATCH(TRUE,OFFSET(INDIRECT($W$4),SUM($X$7:$X44),0,$W$2-SUM($X$7:$X44)),0)</f>
        <v>#REF!</v>
      </c>
      <c r="Y45" s="177" t="str">
        <f ca="1">IF(ISERROR($X45),"",INDEX(INDIRECT($V$4),SUM($X$7:$X45)))</f>
        <v/>
      </c>
      <c r="AA45" s="169"/>
      <c r="AB45" s="188" t="b">
        <v>0</v>
      </c>
      <c r="AC45" s="191" t="e">
        <f ca="1">MATCH(TRUE,OFFSET(INDIRECT($AB$4),SUM($AC$7:$AC44),0,$AB$2-SUM($AC$7:$AC44)),0)</f>
        <v>#REF!</v>
      </c>
      <c r="AD45" s="177" t="str">
        <f ca="1">IF(ISERROR($AC45),"",INDEX(INDIRECT($AA$4),SUM($AC$7:$AC45)))</f>
        <v/>
      </c>
      <c r="AF45" s="177" t="str">
        <f t="shared" ca="1" si="0"/>
        <v/>
      </c>
      <c r="AG45" s="188" t="b">
        <v>0</v>
      </c>
      <c r="AH45" s="191" t="e">
        <f ca="1">MATCH(TRUE,OFFSET(INDIRECT($AG$4),SUM($AH$7:$AH44),0,$AG$2-SUM($AH$7:$AH44)),0)</f>
        <v>#N/A</v>
      </c>
      <c r="AI45" s="177" t="str">
        <f ca="1">IF(ISERROR($AH45),"",INDEX(INDIRECT($AF$4),SUM($AH$7:$AH45)))</f>
        <v/>
      </c>
    </row>
    <row r="46" spans="2:35" x14ac:dyDescent="0.3">
      <c r="B46" s="169"/>
      <c r="C46" s="174" t="b">
        <v>0</v>
      </c>
      <c r="D46" s="177" t="e">
        <f ca="1">MATCH(TRUE,OFFSET(INDIRECT($C$4),SUM($D$7:$D45),0,$C$2-SUM($D$7:$D45)),0)</f>
        <v>#REF!</v>
      </c>
      <c r="E46" s="177" t="str">
        <f ca="1">IF(ISERROR($D46),"",INDEX(INDIRECT($B$4),SUM($D$7:$D46)))</f>
        <v/>
      </c>
      <c r="F46" s="163">
        <f t="shared" si="1"/>
        <v>40</v>
      </c>
      <c r="G46" s="185"/>
      <c r="H46" s="189" t="b">
        <v>0</v>
      </c>
      <c r="I46" s="192" t="e">
        <f ca="1">MATCH(TRUE,OFFSET(INDIRECT($H$4),SUM($I$7:$I45),0,$H$2-SUM($I$7:$I45)),0)</f>
        <v>#REF!</v>
      </c>
      <c r="J46" s="178" t="str">
        <f ca="1">IF(ISERROR($I46),"",INDEX(INDIRECT($G$4),SUM($I$7:$I46)))</f>
        <v/>
      </c>
      <c r="L46" s="170"/>
      <c r="M46" s="189" t="b">
        <v>0</v>
      </c>
      <c r="N46" s="178" t="e">
        <f ca="1">MATCH(TRUE,OFFSET(INDIRECT($M$4),SUM($N$7:$N45),0,$M$2-SUM($N$7:$N45)),0)</f>
        <v>#N/A</v>
      </c>
      <c r="O46" s="178" t="str">
        <f ca="1">IF(ISERROR($N46),"",INDEX(INDIRECT($L$4),SUM($N$7:$N46)))</f>
        <v/>
      </c>
      <c r="P46" s="217"/>
      <c r="Q46" s="215"/>
      <c r="V46" s="170"/>
      <c r="W46" s="175" t="b">
        <v>0</v>
      </c>
      <c r="X46" s="192" t="e">
        <f ca="1">MATCH(TRUE,OFFSET(INDIRECT($W$4),SUM($X$7:$X45),0,$W$2-SUM($X$7:$X45)),0)</f>
        <v>#REF!</v>
      </c>
      <c r="Y46" s="178" t="str">
        <f ca="1">IF(ISERROR($X46),"",INDEX(INDIRECT($V$4),SUM($X$7:$X46)))</f>
        <v/>
      </c>
      <c r="AA46" s="170"/>
      <c r="AB46" s="189" t="b">
        <v>0</v>
      </c>
      <c r="AC46" s="192" t="e">
        <f ca="1">MATCH(TRUE,OFFSET(INDIRECT($AB$4),SUM($AC$7:$AC45),0,$AB$2-SUM($AC$7:$AC45)),0)</f>
        <v>#REF!</v>
      </c>
      <c r="AD46" s="178" t="str">
        <f ca="1">IF(ISERROR($AC46),"",INDEX(INDIRECT($AA$4),SUM($AC$7:$AC46)))</f>
        <v/>
      </c>
      <c r="AF46" s="178" t="str">
        <f t="shared" ca="1" si="0"/>
        <v/>
      </c>
      <c r="AG46" s="189" t="b">
        <v>0</v>
      </c>
      <c r="AH46" s="192" t="e">
        <f ca="1">MATCH(TRUE,OFFSET(INDIRECT($AG$4),SUM($AH$7:$AH45),0,$AG$2-SUM($AH$7:$AH45)),0)</f>
        <v>#N/A</v>
      </c>
      <c r="AI46" s="178" t="str">
        <f ca="1">IF(ISERROR($AH46),"",INDEX(INDIRECT($AF$4),SUM($AH$7:$AH46)))</f>
        <v/>
      </c>
    </row>
    <row r="47" spans="2:35" x14ac:dyDescent="0.3">
      <c r="B47" s="169"/>
      <c r="C47" s="174" t="b">
        <v>0</v>
      </c>
      <c r="D47" s="177" t="e">
        <f ca="1">MATCH(TRUE,OFFSET(INDIRECT($C$4),SUM($D$7:$D46),0,$C$2-SUM($D$7:$D46)),0)</f>
        <v>#REF!</v>
      </c>
      <c r="E47" s="177" t="str">
        <f ca="1">IF(ISERROR($D47),"",INDEX(INDIRECT($B$4),SUM($D$7:$D47)))</f>
        <v/>
      </c>
    </row>
    <row r="48" spans="2:35" x14ac:dyDescent="0.3">
      <c r="B48" s="169"/>
      <c r="C48" s="174" t="b">
        <v>0</v>
      </c>
      <c r="D48" s="177" t="e">
        <f ca="1">MATCH(TRUE,OFFSET(INDIRECT($C$4),SUM($D$7:$D47),0,$C$2-SUM($D$7:$D47)),0)</f>
        <v>#REF!</v>
      </c>
      <c r="E48" s="177" t="str">
        <f ca="1">IF(ISERROR($D48),"",INDEX(INDIRECT($B$4),SUM($D$7:$D48)))</f>
        <v/>
      </c>
    </row>
    <row r="49" spans="2:5" x14ac:dyDescent="0.3">
      <c r="B49" s="169"/>
      <c r="C49" s="174" t="b">
        <v>0</v>
      </c>
      <c r="D49" s="177" t="e">
        <f ca="1">MATCH(TRUE,OFFSET(INDIRECT($C$4),SUM($D$7:$D48),0,$C$2-SUM($D$7:$D48)),0)</f>
        <v>#REF!</v>
      </c>
      <c r="E49" s="177" t="str">
        <f ca="1">IF(ISERROR($D49),"",INDEX(INDIRECT($B$4),SUM($D$7:$D49)))</f>
        <v/>
      </c>
    </row>
    <row r="50" spans="2:5" x14ac:dyDescent="0.3">
      <c r="B50" s="169"/>
      <c r="C50" s="174" t="b">
        <v>0</v>
      </c>
      <c r="D50" s="177" t="e">
        <f ca="1">MATCH(TRUE,OFFSET(INDIRECT($C$4),SUM($D$7:$D49),0,$C$2-SUM($D$7:$D49)),0)</f>
        <v>#REF!</v>
      </c>
      <c r="E50" s="177" t="str">
        <f ca="1">IF(ISERROR($D50),"",INDEX(INDIRECT($B$4),SUM($D$7:$D50)))</f>
        <v/>
      </c>
    </row>
    <row r="51" spans="2:5" x14ac:dyDescent="0.3">
      <c r="B51" s="196"/>
      <c r="C51" s="174" t="b">
        <v>0</v>
      </c>
      <c r="D51" s="177" t="e">
        <f ca="1">MATCH(TRUE,OFFSET(INDIRECT($C$4),SUM($D$7:$D50),0,$C$2-SUM($D$7:$D50)),0)</f>
        <v>#REF!</v>
      </c>
      <c r="E51" s="177" t="str">
        <f ca="1">IF(ISERROR($D51),"",INDEX(INDIRECT($B$4),SUM($D$7:$D51)))</f>
        <v/>
      </c>
    </row>
    <row r="52" spans="2:5" x14ac:dyDescent="0.3">
      <c r="B52" s="169"/>
      <c r="C52" s="174" t="b">
        <v>0</v>
      </c>
      <c r="D52" s="177" t="e">
        <f ca="1">MATCH(TRUE,OFFSET(INDIRECT($C$4),SUM($D$7:$D51),0,$C$2-SUM($D$7:$D51)),0)</f>
        <v>#REF!</v>
      </c>
      <c r="E52" s="177" t="str">
        <f ca="1">IF(ISERROR($D52),"",INDEX(INDIRECT($B$4),SUM($D$7:$D52)))</f>
        <v/>
      </c>
    </row>
    <row r="53" spans="2:5" x14ac:dyDescent="0.3">
      <c r="B53" s="169"/>
      <c r="C53" s="174" t="b">
        <v>0</v>
      </c>
      <c r="D53" s="177" t="e">
        <f ca="1">MATCH(TRUE,OFFSET(INDIRECT($C$4),SUM($D$7:$D52),0,$C$2-SUM($D$7:$D52)),0)</f>
        <v>#REF!</v>
      </c>
      <c r="E53" s="177" t="str">
        <f ca="1">IF(ISERROR($D53),"",INDEX(INDIRECT($B$4),SUM($D$7:$D53)))</f>
        <v/>
      </c>
    </row>
    <row r="54" spans="2:5" x14ac:dyDescent="0.3">
      <c r="B54" s="169"/>
      <c r="C54" s="174" t="b">
        <v>0</v>
      </c>
      <c r="D54" s="177" t="e">
        <f ca="1">MATCH(TRUE,OFFSET(INDIRECT($C$4),SUM($D$7:$D53),0,$C$2-SUM($D$7:$D53)),0)</f>
        <v>#REF!</v>
      </c>
      <c r="E54" s="177" t="str">
        <f ca="1">IF(ISERROR($D54),"",INDEX(INDIRECT($B$4),SUM($D$7:$D54)))</f>
        <v/>
      </c>
    </row>
    <row r="55" spans="2:5" x14ac:dyDescent="0.3">
      <c r="B55" s="169"/>
      <c r="C55" s="174" t="b">
        <v>0</v>
      </c>
      <c r="D55" s="177" t="e">
        <f ca="1">MATCH(TRUE,OFFSET(INDIRECT($C$4),SUM($D$7:$D54),0,$C$2-SUM($D$7:$D54)),0)</f>
        <v>#REF!</v>
      </c>
      <c r="E55" s="177" t="str">
        <f ca="1">IF(ISERROR($D55),"",INDEX(INDIRECT($B$4),SUM($D$7:$D55)))</f>
        <v/>
      </c>
    </row>
    <row r="56" spans="2:5" x14ac:dyDescent="0.3">
      <c r="B56" s="196"/>
      <c r="C56" s="174" t="b">
        <v>0</v>
      </c>
      <c r="D56" s="177" t="e">
        <f ca="1">MATCH(TRUE,OFFSET(INDIRECT($C$4),SUM($D$7:$D55),0,$C$2-SUM($D$7:$D55)),0)</f>
        <v>#REF!</v>
      </c>
      <c r="E56" s="177" t="str">
        <f ca="1">IF(ISERROR($D56),"",INDEX(INDIRECT($B$4),SUM($D$7:$D56)))</f>
        <v/>
      </c>
    </row>
    <row r="57" spans="2:5" x14ac:dyDescent="0.3">
      <c r="B57" s="169"/>
      <c r="C57" s="174" t="b">
        <v>0</v>
      </c>
      <c r="D57" s="177" t="e">
        <f ca="1">MATCH(TRUE,OFFSET(INDIRECT($C$4),SUM($D$7:$D56),0,$C$2-SUM($D$7:$D56)),0)</f>
        <v>#REF!</v>
      </c>
      <c r="E57" s="177" t="str">
        <f ca="1">IF(ISERROR($D57),"",INDEX(INDIRECT($B$4),SUM($D$7:$D57)))</f>
        <v/>
      </c>
    </row>
    <row r="58" spans="2:5" x14ac:dyDescent="0.3">
      <c r="B58" s="169"/>
      <c r="C58" s="174" t="b">
        <v>0</v>
      </c>
      <c r="D58" s="177" t="e">
        <f ca="1">MATCH(TRUE,OFFSET(INDIRECT($C$4),SUM($D$7:$D57),0,$C$2-SUM($D$7:$D57)),0)</f>
        <v>#REF!</v>
      </c>
      <c r="E58" s="177" t="str">
        <f ca="1">IF(ISERROR($D58),"",INDEX(INDIRECT($B$4),SUM($D$7:$D58)))</f>
        <v/>
      </c>
    </row>
    <row r="59" spans="2:5" x14ac:dyDescent="0.3">
      <c r="B59" s="169"/>
      <c r="C59" s="174" t="b">
        <v>0</v>
      </c>
      <c r="D59" s="177" t="e">
        <f ca="1">MATCH(TRUE,OFFSET(INDIRECT($C$4),SUM($D$7:$D58),0,$C$2-SUM($D$7:$D58)),0)</f>
        <v>#REF!</v>
      </c>
      <c r="E59" s="177" t="str">
        <f ca="1">IF(ISERROR($D59),"",INDEX(INDIRECT($B$4),SUM($D$7:$D59)))</f>
        <v/>
      </c>
    </row>
    <row r="60" spans="2:5" x14ac:dyDescent="0.3">
      <c r="B60" s="169"/>
      <c r="C60" s="174" t="b">
        <v>0</v>
      </c>
      <c r="D60" s="177" t="e">
        <f ca="1">MATCH(TRUE,OFFSET(INDIRECT($C$4),SUM($D$7:$D59),0,$C$2-SUM($D$7:$D59)),0)</f>
        <v>#REF!</v>
      </c>
      <c r="E60" s="177" t="str">
        <f ca="1">IF(ISERROR($D60),"",INDEX(INDIRECT($B$4),SUM($D$7:$D60)))</f>
        <v/>
      </c>
    </row>
    <row r="61" spans="2:5" x14ac:dyDescent="0.3">
      <c r="B61" s="169"/>
      <c r="C61" s="174" t="b">
        <v>0</v>
      </c>
      <c r="D61" s="177" t="e">
        <f ca="1">MATCH(TRUE,OFFSET(INDIRECT($C$4),SUM($D$7:$D60),0,$C$2-SUM($D$7:$D60)),0)</f>
        <v>#REF!</v>
      </c>
      <c r="E61" s="177" t="str">
        <f ca="1">IF(ISERROR($D61),"",INDEX(INDIRECT($B$4),SUM($D$7:$D61)))</f>
        <v/>
      </c>
    </row>
    <row r="62" spans="2:5" x14ac:dyDescent="0.3">
      <c r="B62" s="169"/>
      <c r="C62" s="174" t="b">
        <v>0</v>
      </c>
      <c r="D62" s="177" t="e">
        <f ca="1">MATCH(TRUE,OFFSET(INDIRECT($C$4),SUM($D$7:$D61),0,$C$2-SUM($D$7:$D61)),0)</f>
        <v>#REF!</v>
      </c>
      <c r="E62" s="177" t="str">
        <f ca="1">IF(ISERROR($D62),"",INDEX(INDIRECT($B$4),SUM($D$7:$D62)))</f>
        <v/>
      </c>
    </row>
    <row r="63" spans="2:5" x14ac:dyDescent="0.3">
      <c r="B63" s="169"/>
      <c r="C63" s="174" t="b">
        <v>0</v>
      </c>
      <c r="D63" s="177" t="e">
        <f ca="1">MATCH(TRUE,OFFSET(INDIRECT($C$4),SUM($D$7:$D62),0,$C$2-SUM($D$7:$D62)),0)</f>
        <v>#REF!</v>
      </c>
      <c r="E63" s="177" t="str">
        <f ca="1">IF(ISERROR($D63),"",INDEX(INDIRECT($B$4),SUM($D$7:$D63)))</f>
        <v/>
      </c>
    </row>
    <row r="64" spans="2:5" x14ac:dyDescent="0.3">
      <c r="B64" s="169"/>
      <c r="C64" s="174" t="b">
        <v>0</v>
      </c>
      <c r="D64" s="177" t="e">
        <f ca="1">MATCH(TRUE,OFFSET(INDIRECT($C$4),SUM($D$7:$D63),0,$C$2-SUM($D$7:$D63)),0)</f>
        <v>#REF!</v>
      </c>
      <c r="E64" s="177" t="str">
        <f ca="1">IF(ISERROR($D64),"",INDEX(INDIRECT($B$4),SUM($D$7:$D64)))</f>
        <v/>
      </c>
    </row>
    <row r="65" spans="2:5" x14ac:dyDescent="0.3">
      <c r="B65" s="169"/>
      <c r="C65" s="174" t="b">
        <v>0</v>
      </c>
      <c r="D65" s="177" t="e">
        <f ca="1">MATCH(TRUE,OFFSET(INDIRECT($C$4),SUM($D$7:$D64),0,$C$2-SUM($D$7:$D64)),0)</f>
        <v>#REF!</v>
      </c>
      <c r="E65" s="177" t="str">
        <f ca="1">IF(ISERROR($D65),"",INDEX(INDIRECT($B$4),SUM($D$7:$D65)))</f>
        <v/>
      </c>
    </row>
    <row r="66" spans="2:5" x14ac:dyDescent="0.3">
      <c r="B66" s="169"/>
      <c r="C66" s="174" t="b">
        <v>0</v>
      </c>
      <c r="D66" s="177" t="e">
        <f ca="1">MATCH(TRUE,OFFSET(INDIRECT($C$4),SUM($D$7:$D65),0,$C$2-SUM($D$7:$D65)),0)</f>
        <v>#REF!</v>
      </c>
      <c r="E66" s="177" t="str">
        <f ca="1">IF(ISERROR($D66),"",INDEX(INDIRECT($B$4),SUM($D$7:$D66)))</f>
        <v/>
      </c>
    </row>
    <row r="67" spans="2:5" x14ac:dyDescent="0.3">
      <c r="B67" s="169"/>
      <c r="C67" s="174" t="b">
        <v>0</v>
      </c>
      <c r="D67" s="177" t="e">
        <f ca="1">MATCH(TRUE,OFFSET(INDIRECT($C$4),SUM($D$7:$D66),0,$C$2-SUM($D$7:$D66)),0)</f>
        <v>#REF!</v>
      </c>
      <c r="E67" s="177" t="str">
        <f ca="1">IF(ISERROR($D67),"",INDEX(INDIRECT($B$4),SUM($D$7:$D67)))</f>
        <v/>
      </c>
    </row>
    <row r="68" spans="2:5" x14ac:dyDescent="0.3">
      <c r="B68" s="169"/>
      <c r="C68" s="174" t="b">
        <v>0</v>
      </c>
      <c r="D68" s="177" t="e">
        <f ca="1">MATCH(TRUE,OFFSET(INDIRECT($C$4),SUM($D$7:$D67),0,$C$2-SUM($D$7:$D67)),0)</f>
        <v>#REF!</v>
      </c>
      <c r="E68" s="177" t="str">
        <f ca="1">IF(ISERROR($D68),"",INDEX(INDIRECT($B$4),SUM($D$7:$D68)))</f>
        <v/>
      </c>
    </row>
    <row r="69" spans="2:5" x14ac:dyDescent="0.3">
      <c r="B69" s="169"/>
      <c r="C69" s="174" t="b">
        <v>0</v>
      </c>
      <c r="D69" s="177" t="e">
        <f ca="1">MATCH(TRUE,OFFSET(INDIRECT($C$4),SUM($D$7:$D68),0,$C$2-SUM($D$7:$D68)),0)</f>
        <v>#REF!</v>
      </c>
      <c r="E69" s="177" t="str">
        <f ca="1">IF(ISERROR($D69),"",INDEX(INDIRECT($B$4),SUM($D$7:$D69)))</f>
        <v/>
      </c>
    </row>
    <row r="70" spans="2:5" x14ac:dyDescent="0.3">
      <c r="B70" s="169"/>
      <c r="C70" s="174" t="b">
        <v>0</v>
      </c>
      <c r="D70" s="177" t="e">
        <f ca="1">MATCH(TRUE,OFFSET(INDIRECT($C$4),SUM($D$7:$D69),0,$C$2-SUM($D$7:$D69)),0)</f>
        <v>#REF!</v>
      </c>
      <c r="E70" s="177" t="str">
        <f ca="1">IF(ISERROR($D70),"",INDEX(INDIRECT($B$4),SUM($D$7:$D70)))</f>
        <v/>
      </c>
    </row>
    <row r="71" spans="2:5" x14ac:dyDescent="0.3">
      <c r="B71" s="169"/>
      <c r="C71" s="174" t="b">
        <v>0</v>
      </c>
      <c r="D71" s="177" t="e">
        <f ca="1">MATCH(TRUE,OFFSET(INDIRECT($C$4),SUM($D$7:$D70),0,$C$2-SUM($D$7:$D70)),0)</f>
        <v>#REF!</v>
      </c>
      <c r="E71" s="177" t="str">
        <f ca="1">IF(ISERROR($D71),"",INDEX(INDIRECT($B$4),SUM($D$7:$D71)))</f>
        <v/>
      </c>
    </row>
    <row r="72" spans="2:5" x14ac:dyDescent="0.3">
      <c r="B72" s="169"/>
      <c r="C72" s="174" t="b">
        <v>0</v>
      </c>
      <c r="D72" s="177" t="e">
        <f ca="1">MATCH(TRUE,OFFSET(INDIRECT($C$4),SUM($D$7:$D71),0,$C$2-SUM($D$7:$D71)),0)</f>
        <v>#REF!</v>
      </c>
      <c r="E72" s="177" t="str">
        <f ca="1">IF(ISERROR($D72),"",INDEX(INDIRECT($B$4),SUM($D$7:$D72)))</f>
        <v/>
      </c>
    </row>
    <row r="73" spans="2:5" x14ac:dyDescent="0.3">
      <c r="B73" s="169"/>
      <c r="C73" s="174" t="b">
        <v>0</v>
      </c>
      <c r="D73" s="177" t="e">
        <f ca="1">MATCH(TRUE,OFFSET(INDIRECT($C$4),SUM($D$7:$D72),0,$C$2-SUM($D$7:$D72)),0)</f>
        <v>#REF!</v>
      </c>
      <c r="E73" s="177" t="str">
        <f ca="1">IF(ISERROR($D73),"",INDEX(INDIRECT($B$4),SUM($D$7:$D73)))</f>
        <v/>
      </c>
    </row>
    <row r="74" spans="2:5" x14ac:dyDescent="0.3">
      <c r="B74" s="169"/>
      <c r="C74" s="174" t="b">
        <v>0</v>
      </c>
      <c r="D74" s="177" t="e">
        <f ca="1">MATCH(TRUE,OFFSET(INDIRECT($C$4),SUM($D$7:$D73),0,$C$2-SUM($D$7:$D73)),0)</f>
        <v>#REF!</v>
      </c>
      <c r="E74" s="177" t="str">
        <f ca="1">IF(ISERROR($D74),"",INDEX(INDIRECT($B$4),SUM($D$7:$D74)))</f>
        <v/>
      </c>
    </row>
    <row r="75" spans="2:5" x14ac:dyDescent="0.3">
      <c r="B75" s="169"/>
      <c r="C75" s="174" t="b">
        <v>0</v>
      </c>
      <c r="D75" s="177" t="e">
        <f ca="1">MATCH(TRUE,OFFSET(INDIRECT($C$4),SUM($D$7:$D74),0,$C$2-SUM($D$7:$D74)),0)</f>
        <v>#REF!</v>
      </c>
      <c r="E75" s="177" t="str">
        <f ca="1">IF(ISERROR($D75),"",INDEX(INDIRECT($B$4),SUM($D$7:$D75)))</f>
        <v/>
      </c>
    </row>
    <row r="76" spans="2:5" x14ac:dyDescent="0.3">
      <c r="B76" s="169"/>
      <c r="C76" s="174" t="b">
        <v>0</v>
      </c>
      <c r="D76" s="177" t="e">
        <f ca="1">MATCH(TRUE,OFFSET(INDIRECT($C$4),SUM($D$7:$D75),0,$C$2-SUM($D$7:$D75)),0)</f>
        <v>#REF!</v>
      </c>
      <c r="E76" s="177" t="str">
        <f ca="1">IF(ISERROR($D76),"",INDEX(INDIRECT($B$4),SUM($D$7:$D76)))</f>
        <v/>
      </c>
    </row>
    <row r="77" spans="2:5" x14ac:dyDescent="0.3">
      <c r="B77" s="169"/>
      <c r="C77" s="174" t="b">
        <v>0</v>
      </c>
      <c r="D77" s="177" t="e">
        <f ca="1">MATCH(TRUE,OFFSET(INDIRECT($C$4),SUM($D$7:$D76),0,$C$2-SUM($D$7:$D76)),0)</f>
        <v>#REF!</v>
      </c>
      <c r="E77" s="177" t="str">
        <f ca="1">IF(ISERROR($D77),"",INDEX(INDIRECT($B$4),SUM($D$7:$D77)))</f>
        <v/>
      </c>
    </row>
    <row r="78" spans="2:5" x14ac:dyDescent="0.3">
      <c r="B78" s="169"/>
      <c r="C78" s="174" t="b">
        <v>0</v>
      </c>
      <c r="D78" s="177" t="e">
        <f ca="1">MATCH(TRUE,OFFSET(INDIRECT($C$4),SUM($D$7:$D77),0,$C$2-SUM($D$7:$D77)),0)</f>
        <v>#REF!</v>
      </c>
      <c r="E78" s="177" t="str">
        <f ca="1">IF(ISERROR($D78),"",INDEX(INDIRECT($B$4),SUM($D$7:$D78)))</f>
        <v/>
      </c>
    </row>
    <row r="79" spans="2:5" x14ac:dyDescent="0.3">
      <c r="B79" s="169"/>
      <c r="C79" s="174" t="b">
        <v>0</v>
      </c>
      <c r="D79" s="177" t="e">
        <f ca="1">MATCH(TRUE,OFFSET(INDIRECT($C$4),SUM($D$7:$D78),0,$C$2-SUM($D$7:$D78)),0)</f>
        <v>#REF!</v>
      </c>
      <c r="E79" s="177" t="str">
        <f ca="1">IF(ISERROR($D79),"",INDEX(INDIRECT($B$4),SUM($D$7:$D79)))</f>
        <v/>
      </c>
    </row>
    <row r="80" spans="2:5" x14ac:dyDescent="0.3">
      <c r="B80" s="169"/>
      <c r="C80" s="174" t="b">
        <v>0</v>
      </c>
      <c r="D80" s="177" t="e">
        <f ca="1">MATCH(TRUE,OFFSET(INDIRECT($C$4),SUM($D$7:$D79),0,$C$2-SUM($D$7:$D79)),0)</f>
        <v>#REF!</v>
      </c>
      <c r="E80" s="177" t="str">
        <f ca="1">IF(ISERROR($D80),"",INDEX(INDIRECT($B$4),SUM($D$7:$D80)))</f>
        <v/>
      </c>
    </row>
    <row r="81" spans="2:5" x14ac:dyDescent="0.3">
      <c r="B81" s="169"/>
      <c r="C81" s="174" t="b">
        <v>0</v>
      </c>
      <c r="D81" s="177" t="e">
        <f ca="1">MATCH(TRUE,OFFSET(INDIRECT($C$4),SUM($D$7:$D80),0,$C$2-SUM($D$7:$D80)),0)</f>
        <v>#REF!</v>
      </c>
      <c r="E81" s="177" t="str">
        <f ca="1">IF(ISERROR($D81),"",INDEX(INDIRECT($B$4),SUM($D$7:$D81)))</f>
        <v/>
      </c>
    </row>
    <row r="82" spans="2:5" x14ac:dyDescent="0.3">
      <c r="B82" s="169"/>
      <c r="C82" s="174" t="b">
        <v>0</v>
      </c>
      <c r="D82" s="177" t="e">
        <f ca="1">MATCH(TRUE,OFFSET(INDIRECT($C$4),SUM($D$7:$D81),0,$C$2-SUM($D$7:$D81)),0)</f>
        <v>#REF!</v>
      </c>
      <c r="E82" s="177" t="str">
        <f ca="1">IF(ISERROR($D82),"",INDEX(INDIRECT($B$4),SUM($D$7:$D82)))</f>
        <v/>
      </c>
    </row>
    <row r="83" spans="2:5" x14ac:dyDescent="0.3">
      <c r="B83" s="169"/>
      <c r="C83" s="174" t="b">
        <v>0</v>
      </c>
      <c r="D83" s="177" t="e">
        <f ca="1">MATCH(TRUE,OFFSET(INDIRECT($C$4),SUM($D$7:$D82),0,$C$2-SUM($D$7:$D82)),0)</f>
        <v>#REF!</v>
      </c>
      <c r="E83" s="177" t="str">
        <f ca="1">IF(ISERROR($D83),"",INDEX(INDIRECT($B$4),SUM($D$7:$D83)))</f>
        <v/>
      </c>
    </row>
    <row r="84" spans="2:5" x14ac:dyDescent="0.3">
      <c r="B84" s="169"/>
      <c r="C84" s="174" t="b">
        <v>0</v>
      </c>
      <c r="D84" s="177" t="e">
        <f ca="1">MATCH(TRUE,OFFSET(INDIRECT($C$4),SUM($D$7:$D83),0,$C$2-SUM($D$7:$D83)),0)</f>
        <v>#REF!</v>
      </c>
      <c r="E84" s="177" t="str">
        <f ca="1">IF(ISERROR($D84),"",INDEX(INDIRECT($B$4),SUM($D$7:$D84)))</f>
        <v/>
      </c>
    </row>
    <row r="85" spans="2:5" x14ac:dyDescent="0.3">
      <c r="B85" s="169"/>
      <c r="C85" s="174" t="b">
        <v>0</v>
      </c>
      <c r="D85" s="177" t="e">
        <f ca="1">MATCH(TRUE,OFFSET(INDIRECT($C$4),SUM($D$7:$D84),0,$C$2-SUM($D$7:$D84)),0)</f>
        <v>#REF!</v>
      </c>
      <c r="E85" s="177" t="str">
        <f ca="1">IF(ISERROR($D85),"",INDEX(INDIRECT($B$4),SUM($D$7:$D85)))</f>
        <v/>
      </c>
    </row>
    <row r="86" spans="2:5" x14ac:dyDescent="0.3">
      <c r="B86" s="169"/>
      <c r="C86" s="174" t="b">
        <v>0</v>
      </c>
      <c r="D86" s="177" t="e">
        <f ca="1">MATCH(TRUE,OFFSET(INDIRECT($C$4),SUM($D$7:$D85),0,$C$2-SUM($D$7:$D85)),0)</f>
        <v>#REF!</v>
      </c>
      <c r="E86" s="177" t="str">
        <f ca="1">IF(ISERROR($D86),"",INDEX(INDIRECT($B$4),SUM($D$7:$D86)))</f>
        <v/>
      </c>
    </row>
    <row r="87" spans="2:5" x14ac:dyDescent="0.3">
      <c r="B87" s="169"/>
      <c r="C87" s="174" t="b">
        <v>0</v>
      </c>
      <c r="D87" s="177" t="e">
        <f ca="1">MATCH(TRUE,OFFSET(INDIRECT($C$4),SUM($D$7:$D86),0,$C$2-SUM($D$7:$D86)),0)</f>
        <v>#REF!</v>
      </c>
      <c r="E87" s="177" t="str">
        <f ca="1">IF(ISERROR($D87),"",INDEX(INDIRECT($B$4),SUM($D$7:$D87)))</f>
        <v/>
      </c>
    </row>
    <row r="88" spans="2:5" x14ac:dyDescent="0.3">
      <c r="B88" s="169"/>
      <c r="C88" s="174" t="b">
        <v>0</v>
      </c>
      <c r="D88" s="177" t="e">
        <f ca="1">MATCH(TRUE,OFFSET(INDIRECT($C$4),SUM($D$7:$D87),0,$C$2-SUM($D$7:$D87)),0)</f>
        <v>#REF!</v>
      </c>
      <c r="E88" s="177" t="str">
        <f ca="1">IF(ISERROR($D88),"",INDEX(INDIRECT($B$4),SUM($D$7:$D88)))</f>
        <v/>
      </c>
    </row>
    <row r="89" spans="2:5" x14ac:dyDescent="0.3">
      <c r="B89" s="169"/>
      <c r="C89" s="174" t="b">
        <v>0</v>
      </c>
      <c r="D89" s="177" t="e">
        <f ca="1">MATCH(TRUE,OFFSET(INDIRECT($C$4),SUM($D$7:$D88),0,$C$2-SUM($D$7:$D88)),0)</f>
        <v>#REF!</v>
      </c>
      <c r="E89" s="177" t="str">
        <f ca="1">IF(ISERROR($D89),"",INDEX(INDIRECT($B$4),SUM($D$7:$D89)))</f>
        <v/>
      </c>
    </row>
    <row r="90" spans="2:5" x14ac:dyDescent="0.3">
      <c r="B90" s="169"/>
      <c r="C90" s="174" t="b">
        <v>0</v>
      </c>
      <c r="D90" s="177" t="e">
        <f ca="1">MATCH(TRUE,OFFSET(INDIRECT($C$4),SUM($D$7:$D89),0,$C$2-SUM($D$7:$D89)),0)</f>
        <v>#REF!</v>
      </c>
      <c r="E90" s="177" t="str">
        <f ca="1">IF(ISERROR($D90),"",INDEX(INDIRECT($B$4),SUM($D$7:$D90)))</f>
        <v/>
      </c>
    </row>
    <row r="91" spans="2:5" x14ac:dyDescent="0.3">
      <c r="B91" s="169"/>
      <c r="C91" s="174" t="b">
        <v>0</v>
      </c>
      <c r="D91" s="177" t="e">
        <f ca="1">MATCH(TRUE,OFFSET(INDIRECT($C$4),SUM($D$7:$D90),0,$C$2-SUM($D$7:$D90)),0)</f>
        <v>#REF!</v>
      </c>
      <c r="E91" s="177" t="str">
        <f ca="1">IF(ISERROR($D91),"",INDEX(INDIRECT($B$4),SUM($D$7:$D91)))</f>
        <v/>
      </c>
    </row>
    <row r="92" spans="2:5" x14ac:dyDescent="0.3">
      <c r="B92" s="169"/>
      <c r="C92" s="174" t="b">
        <v>0</v>
      </c>
      <c r="D92" s="177" t="e">
        <f ca="1">MATCH(TRUE,OFFSET(INDIRECT($C$4),SUM($D$7:$D91),0,$C$2-SUM($D$7:$D91)),0)</f>
        <v>#REF!</v>
      </c>
      <c r="E92" s="177" t="str">
        <f ca="1">IF(ISERROR($D92),"",INDEX(INDIRECT($B$4),SUM($D$7:$D92)))</f>
        <v/>
      </c>
    </row>
    <row r="93" spans="2:5" x14ac:dyDescent="0.3">
      <c r="B93" s="169"/>
      <c r="C93" s="174" t="b">
        <v>0</v>
      </c>
      <c r="D93" s="177" t="e">
        <f ca="1">MATCH(TRUE,OFFSET(INDIRECT($C$4),SUM($D$7:$D92),0,$C$2-SUM($D$7:$D92)),0)</f>
        <v>#REF!</v>
      </c>
      <c r="E93" s="177" t="str">
        <f ca="1">IF(ISERROR($D93),"",INDEX(INDIRECT($B$4),SUM($D$7:$D93)))</f>
        <v/>
      </c>
    </row>
    <row r="94" spans="2:5" x14ac:dyDescent="0.3">
      <c r="B94" s="169"/>
      <c r="C94" s="174" t="b">
        <v>0</v>
      </c>
      <c r="D94" s="177" t="e">
        <f ca="1">MATCH(TRUE,OFFSET(INDIRECT($C$4),SUM($D$7:$D93),0,$C$2-SUM($D$7:$D93)),0)</f>
        <v>#REF!</v>
      </c>
      <c r="E94" s="177" t="str">
        <f ca="1">IF(ISERROR($D94),"",INDEX(INDIRECT($B$4),SUM($D$7:$D94)))</f>
        <v/>
      </c>
    </row>
    <row r="95" spans="2:5" x14ac:dyDescent="0.3">
      <c r="B95" s="169"/>
      <c r="C95" s="174" t="b">
        <v>0</v>
      </c>
      <c r="D95" s="177" t="e">
        <f ca="1">MATCH(TRUE,OFFSET(INDIRECT($C$4),SUM($D$7:$D94),0,$C$2-SUM($D$7:$D94)),0)</f>
        <v>#REF!</v>
      </c>
      <c r="E95" s="177" t="str">
        <f ca="1">IF(ISERROR($D95),"",INDEX(INDIRECT($B$4),SUM($D$7:$D95)))</f>
        <v/>
      </c>
    </row>
    <row r="96" spans="2:5" x14ac:dyDescent="0.3">
      <c r="B96" s="169"/>
      <c r="C96" s="174" t="b">
        <v>0</v>
      </c>
      <c r="D96" s="177" t="e">
        <f ca="1">MATCH(TRUE,OFFSET(INDIRECT($C$4),SUM($D$7:$D95),0,$C$2-SUM($D$7:$D95)),0)</f>
        <v>#REF!</v>
      </c>
      <c r="E96" s="177" t="str">
        <f ca="1">IF(ISERROR($D96),"",INDEX(INDIRECT($B$4),SUM($D$7:$D96)))</f>
        <v/>
      </c>
    </row>
    <row r="97" spans="2:5" x14ac:dyDescent="0.3">
      <c r="B97" s="169"/>
      <c r="C97" s="174" t="b">
        <v>0</v>
      </c>
      <c r="D97" s="177" t="e">
        <f ca="1">MATCH(TRUE,OFFSET(INDIRECT($C$4),SUM($D$7:$D96),0,$C$2-SUM($D$7:$D96)),0)</f>
        <v>#REF!</v>
      </c>
      <c r="E97" s="177" t="str">
        <f ca="1">IF(ISERROR($D97),"",INDEX(INDIRECT($B$4),SUM($D$7:$D97)))</f>
        <v/>
      </c>
    </row>
    <row r="98" spans="2:5" x14ac:dyDescent="0.3">
      <c r="B98" s="169"/>
      <c r="C98" s="174" t="b">
        <v>0</v>
      </c>
      <c r="D98" s="177" t="e">
        <f ca="1">MATCH(TRUE,OFFSET(INDIRECT($C$4),SUM($D$7:$D97),0,$C$2-SUM($D$7:$D97)),0)</f>
        <v>#REF!</v>
      </c>
      <c r="E98" s="177" t="str">
        <f ca="1">IF(ISERROR($D98),"",INDEX(INDIRECT($B$4),SUM($D$7:$D98)))</f>
        <v/>
      </c>
    </row>
    <row r="99" spans="2:5" x14ac:dyDescent="0.3">
      <c r="B99" s="169"/>
      <c r="C99" s="174" t="b">
        <v>0</v>
      </c>
      <c r="D99" s="177" t="e">
        <f ca="1">MATCH(TRUE,OFFSET(INDIRECT($C$4),SUM($D$7:$D98),0,$C$2-SUM($D$7:$D98)),0)</f>
        <v>#REF!</v>
      </c>
      <c r="E99" s="177" t="str">
        <f ca="1">IF(ISERROR($D99),"",INDEX(INDIRECT($B$4),SUM($D$7:$D99)))</f>
        <v/>
      </c>
    </row>
    <row r="100" spans="2:5" x14ac:dyDescent="0.3">
      <c r="B100" s="169"/>
      <c r="C100" s="174" t="b">
        <v>0</v>
      </c>
      <c r="D100" s="177" t="e">
        <f ca="1">MATCH(TRUE,OFFSET(INDIRECT($C$4),SUM($D$7:$D99),0,$C$2-SUM($D$7:$D99)),0)</f>
        <v>#REF!</v>
      </c>
      <c r="E100" s="177" t="str">
        <f ca="1">IF(ISERROR($D100),"",INDEX(INDIRECT($B$4),SUM($D$7:$D100)))</f>
        <v/>
      </c>
    </row>
    <row r="101" spans="2:5" x14ac:dyDescent="0.3">
      <c r="B101" s="169"/>
      <c r="C101" s="174" t="b">
        <v>0</v>
      </c>
      <c r="D101" s="177" t="e">
        <f ca="1">MATCH(TRUE,OFFSET(INDIRECT($C$4),SUM($D$7:$D100),0,$C$2-SUM($D$7:$D100)),0)</f>
        <v>#REF!</v>
      </c>
      <c r="E101" s="177" t="str">
        <f ca="1">IF(ISERROR($D101),"",INDEX(INDIRECT($B$4),SUM($D$7:$D101)))</f>
        <v/>
      </c>
    </row>
    <row r="102" spans="2:5" x14ac:dyDescent="0.3">
      <c r="B102" s="169"/>
      <c r="C102" s="174" t="b">
        <v>0</v>
      </c>
      <c r="D102" s="177" t="e">
        <f ca="1">MATCH(TRUE,OFFSET(INDIRECT($C$4),SUM($D$7:$D101),0,$C$2-SUM($D$7:$D101)),0)</f>
        <v>#REF!</v>
      </c>
      <c r="E102" s="177" t="str">
        <f ca="1">IF(ISERROR($D102),"",INDEX(INDIRECT($B$4),SUM($D$7:$D102)))</f>
        <v/>
      </c>
    </row>
    <row r="103" spans="2:5" x14ac:dyDescent="0.3">
      <c r="B103" s="169"/>
      <c r="C103" s="174" t="b">
        <v>0</v>
      </c>
      <c r="D103" s="177" t="e">
        <f ca="1">MATCH(TRUE,OFFSET(INDIRECT($C$4),SUM($D$7:$D102),0,$C$2-SUM($D$7:$D102)),0)</f>
        <v>#REF!</v>
      </c>
      <c r="E103" s="177" t="str">
        <f ca="1">IF(ISERROR($D103),"",INDEX(INDIRECT($B$4),SUM($D$7:$D103)))</f>
        <v/>
      </c>
    </row>
    <row r="104" spans="2:5" x14ac:dyDescent="0.3">
      <c r="B104" s="169"/>
      <c r="C104" s="174" t="b">
        <v>0</v>
      </c>
      <c r="D104" s="177" t="e">
        <f ca="1">MATCH(TRUE,OFFSET(INDIRECT($C$4),SUM($D$7:$D103),0,$C$2-SUM($D$7:$D103)),0)</f>
        <v>#REF!</v>
      </c>
      <c r="E104" s="177" t="str">
        <f ca="1">IF(ISERROR($D104),"",INDEX(INDIRECT($B$4),SUM($D$7:$D104)))</f>
        <v/>
      </c>
    </row>
    <row r="105" spans="2:5" x14ac:dyDescent="0.3">
      <c r="B105" s="169"/>
      <c r="C105" s="174" t="b">
        <v>0</v>
      </c>
      <c r="D105" s="177" t="e">
        <f ca="1">MATCH(TRUE,OFFSET(INDIRECT($C$4),SUM($D$7:$D104),0,$C$2-SUM($D$7:$D104)),0)</f>
        <v>#REF!</v>
      </c>
      <c r="E105" s="177" t="str">
        <f ca="1">IF(ISERROR($D105),"",INDEX(INDIRECT($B$4),SUM($D$7:$D105)))</f>
        <v/>
      </c>
    </row>
    <row r="106" spans="2:5" x14ac:dyDescent="0.3">
      <c r="B106" s="169"/>
      <c r="C106" s="174" t="b">
        <v>0</v>
      </c>
      <c r="D106" s="177" t="e">
        <f ca="1">MATCH(TRUE,OFFSET(INDIRECT($C$4),SUM($D$7:$D105),0,$C$2-SUM($D$7:$D105)),0)</f>
        <v>#REF!</v>
      </c>
      <c r="E106" s="177" t="str">
        <f ca="1">IF(ISERROR($D106),"",INDEX(INDIRECT($B$4),SUM($D$7:$D106)))</f>
        <v/>
      </c>
    </row>
    <row r="107" spans="2:5" x14ac:dyDescent="0.3">
      <c r="B107" s="170"/>
      <c r="C107" s="175" t="b">
        <v>0</v>
      </c>
      <c r="D107" s="178" t="e">
        <f ca="1">MATCH(TRUE,OFFSET(INDIRECT($C$4),SUM($D$7:$D106),0,$C$2-SUM($D$7:$D106)),0)</f>
        <v>#REF!</v>
      </c>
      <c r="E107" s="178" t="str">
        <f ca="1">IF(ISERROR($D107),"",INDEX(INDIRECT($B$4),SUM($D$7:$D107)))</f>
        <v/>
      </c>
    </row>
  </sheetData>
  <phoneticPr fontId="2" type="noConversion"/>
  <pageMargins left="0.78740157499999996" right="0.78740157499999996" top="0.984251969" bottom="0.984251969" header="0.4921259845" footer="0.4921259845"/>
  <pageSetup paperSize="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8" r:id="rId4" name="Check Box 6">
              <controlPr defaultSize="0" autoFill="0" autoLine="0" autoPict="0">
                <anchor moveWithCells="1">
                  <from>
                    <xdr:col>2</xdr:col>
                    <xdr:colOff>0</xdr:colOff>
                    <xdr:row>6</xdr:row>
                    <xdr:rowOff>107950</xdr:rowOff>
                  </from>
                  <to>
                    <xdr:col>2</xdr:col>
                    <xdr:colOff>203200</xdr:colOff>
                    <xdr:row>8</xdr:row>
                    <xdr:rowOff>12700</xdr:rowOff>
                  </to>
                </anchor>
              </controlPr>
            </control>
          </mc:Choice>
        </mc:AlternateContent>
        <mc:AlternateContent xmlns:mc="http://schemas.openxmlformats.org/markup-compatibility/2006">
          <mc:Choice Requires="x14">
            <control shapeId="18439" r:id="rId5" name="Check Box 7">
              <controlPr defaultSize="0" autoFill="0" autoLine="0" autoPict="0">
                <anchor moveWithCells="1">
                  <from>
                    <xdr:col>2</xdr:col>
                    <xdr:colOff>0</xdr:colOff>
                    <xdr:row>8</xdr:row>
                    <xdr:rowOff>107950</xdr:rowOff>
                  </from>
                  <to>
                    <xdr:col>2</xdr:col>
                    <xdr:colOff>203200</xdr:colOff>
                    <xdr:row>10</xdr:row>
                    <xdr:rowOff>12700</xdr:rowOff>
                  </to>
                </anchor>
              </controlPr>
            </control>
          </mc:Choice>
        </mc:AlternateContent>
        <mc:AlternateContent xmlns:mc="http://schemas.openxmlformats.org/markup-compatibility/2006">
          <mc:Choice Requires="x14">
            <control shapeId="18440" r:id="rId6" name="Check Box 8">
              <controlPr defaultSize="0" autoFill="0" autoLine="0" autoPict="0">
                <anchor moveWithCells="1">
                  <from>
                    <xdr:col>2</xdr:col>
                    <xdr:colOff>0</xdr:colOff>
                    <xdr:row>10</xdr:row>
                    <xdr:rowOff>107950</xdr:rowOff>
                  </from>
                  <to>
                    <xdr:col>2</xdr:col>
                    <xdr:colOff>203200</xdr:colOff>
                    <xdr:row>12</xdr:row>
                    <xdr:rowOff>12700</xdr:rowOff>
                  </to>
                </anchor>
              </controlPr>
            </control>
          </mc:Choice>
        </mc:AlternateContent>
        <mc:AlternateContent xmlns:mc="http://schemas.openxmlformats.org/markup-compatibility/2006">
          <mc:Choice Requires="x14">
            <control shapeId="18441" r:id="rId7" name="Check Box 9">
              <controlPr defaultSize="0" autoFill="0" autoLine="0" autoPict="0">
                <anchor moveWithCells="1">
                  <from>
                    <xdr:col>2</xdr:col>
                    <xdr:colOff>0</xdr:colOff>
                    <xdr:row>12</xdr:row>
                    <xdr:rowOff>107950</xdr:rowOff>
                  </from>
                  <to>
                    <xdr:col>2</xdr:col>
                    <xdr:colOff>203200</xdr:colOff>
                    <xdr:row>14</xdr:row>
                    <xdr:rowOff>12700</xdr:rowOff>
                  </to>
                </anchor>
              </controlPr>
            </control>
          </mc:Choice>
        </mc:AlternateContent>
        <mc:AlternateContent xmlns:mc="http://schemas.openxmlformats.org/markup-compatibility/2006">
          <mc:Choice Requires="x14">
            <control shapeId="18442" r:id="rId8" name="Check Box 10">
              <controlPr defaultSize="0" autoFill="0" autoLine="0" autoPict="0">
                <anchor moveWithCells="1">
                  <from>
                    <xdr:col>2</xdr:col>
                    <xdr:colOff>0</xdr:colOff>
                    <xdr:row>14</xdr:row>
                    <xdr:rowOff>107950</xdr:rowOff>
                  </from>
                  <to>
                    <xdr:col>2</xdr:col>
                    <xdr:colOff>203200</xdr:colOff>
                    <xdr:row>16</xdr:row>
                    <xdr:rowOff>12700</xdr:rowOff>
                  </to>
                </anchor>
              </controlPr>
            </control>
          </mc:Choice>
        </mc:AlternateContent>
        <mc:AlternateContent xmlns:mc="http://schemas.openxmlformats.org/markup-compatibility/2006">
          <mc:Choice Requires="x14">
            <control shapeId="18446" r:id="rId9" name="Check Box 14">
              <controlPr defaultSize="0" autoFill="0" autoLine="0" autoPict="0">
                <anchor moveWithCells="1">
                  <from>
                    <xdr:col>2</xdr:col>
                    <xdr:colOff>0</xdr:colOff>
                    <xdr:row>9</xdr:row>
                    <xdr:rowOff>107950</xdr:rowOff>
                  </from>
                  <to>
                    <xdr:col>2</xdr:col>
                    <xdr:colOff>203200</xdr:colOff>
                    <xdr:row>11</xdr:row>
                    <xdr:rowOff>12700</xdr:rowOff>
                  </to>
                </anchor>
              </controlPr>
            </control>
          </mc:Choice>
        </mc:AlternateContent>
        <mc:AlternateContent xmlns:mc="http://schemas.openxmlformats.org/markup-compatibility/2006">
          <mc:Choice Requires="x14">
            <control shapeId="18448" r:id="rId10" name="Check Box 16">
              <controlPr defaultSize="0" autoFill="0" autoLine="0" autoPict="0">
                <anchor moveWithCells="1">
                  <from>
                    <xdr:col>2</xdr:col>
                    <xdr:colOff>0</xdr:colOff>
                    <xdr:row>11</xdr:row>
                    <xdr:rowOff>107950</xdr:rowOff>
                  </from>
                  <to>
                    <xdr:col>2</xdr:col>
                    <xdr:colOff>203200</xdr:colOff>
                    <xdr:row>13</xdr:row>
                    <xdr:rowOff>12700</xdr:rowOff>
                  </to>
                </anchor>
              </controlPr>
            </control>
          </mc:Choice>
        </mc:AlternateContent>
        <mc:AlternateContent xmlns:mc="http://schemas.openxmlformats.org/markup-compatibility/2006">
          <mc:Choice Requires="x14">
            <control shapeId="18449" r:id="rId11" name="Check Box 17">
              <controlPr defaultSize="0" autoFill="0" autoLine="0" autoPict="0">
                <anchor moveWithCells="1">
                  <from>
                    <xdr:col>2</xdr:col>
                    <xdr:colOff>0</xdr:colOff>
                    <xdr:row>13</xdr:row>
                    <xdr:rowOff>107950</xdr:rowOff>
                  </from>
                  <to>
                    <xdr:col>2</xdr:col>
                    <xdr:colOff>203200</xdr:colOff>
                    <xdr:row>15</xdr:row>
                    <xdr:rowOff>12700</xdr:rowOff>
                  </to>
                </anchor>
              </controlPr>
            </control>
          </mc:Choice>
        </mc:AlternateContent>
        <mc:AlternateContent xmlns:mc="http://schemas.openxmlformats.org/markup-compatibility/2006">
          <mc:Choice Requires="x14">
            <control shapeId="18450" r:id="rId12" name="Check Box 18">
              <controlPr defaultSize="0" autoFill="0" autoLine="0" autoPict="0">
                <anchor moveWithCells="1">
                  <from>
                    <xdr:col>2</xdr:col>
                    <xdr:colOff>0</xdr:colOff>
                    <xdr:row>15</xdr:row>
                    <xdr:rowOff>107950</xdr:rowOff>
                  </from>
                  <to>
                    <xdr:col>2</xdr:col>
                    <xdr:colOff>203200</xdr:colOff>
                    <xdr:row>17</xdr:row>
                    <xdr:rowOff>12700</xdr:rowOff>
                  </to>
                </anchor>
              </controlPr>
            </control>
          </mc:Choice>
        </mc:AlternateContent>
        <mc:AlternateContent xmlns:mc="http://schemas.openxmlformats.org/markup-compatibility/2006">
          <mc:Choice Requires="x14">
            <control shapeId="18451" r:id="rId13" name="Check Box 19">
              <controlPr defaultSize="0" autoFill="0" autoLine="0" autoPict="0">
                <anchor moveWithCells="1">
                  <from>
                    <xdr:col>2</xdr:col>
                    <xdr:colOff>0</xdr:colOff>
                    <xdr:row>16</xdr:row>
                    <xdr:rowOff>107950</xdr:rowOff>
                  </from>
                  <to>
                    <xdr:col>2</xdr:col>
                    <xdr:colOff>203200</xdr:colOff>
                    <xdr:row>18</xdr:row>
                    <xdr:rowOff>12700</xdr:rowOff>
                  </to>
                </anchor>
              </controlPr>
            </control>
          </mc:Choice>
        </mc:AlternateContent>
        <mc:AlternateContent xmlns:mc="http://schemas.openxmlformats.org/markup-compatibility/2006">
          <mc:Choice Requires="x14">
            <control shapeId="18452" r:id="rId14" name="Check Box 20">
              <controlPr defaultSize="0" autoFill="0" autoLine="0" autoPict="0">
                <anchor moveWithCells="1">
                  <from>
                    <xdr:col>2</xdr:col>
                    <xdr:colOff>0</xdr:colOff>
                    <xdr:row>17</xdr:row>
                    <xdr:rowOff>107950</xdr:rowOff>
                  </from>
                  <to>
                    <xdr:col>2</xdr:col>
                    <xdr:colOff>203200</xdr:colOff>
                    <xdr:row>19</xdr:row>
                    <xdr:rowOff>12700</xdr:rowOff>
                  </to>
                </anchor>
              </controlPr>
            </control>
          </mc:Choice>
        </mc:AlternateContent>
        <mc:AlternateContent xmlns:mc="http://schemas.openxmlformats.org/markup-compatibility/2006">
          <mc:Choice Requires="x14">
            <control shapeId="18453" r:id="rId15" name="Check Box 21">
              <controlPr defaultSize="0" autoFill="0" autoLine="0" autoPict="0">
                <anchor moveWithCells="1">
                  <from>
                    <xdr:col>2</xdr:col>
                    <xdr:colOff>0</xdr:colOff>
                    <xdr:row>18</xdr:row>
                    <xdr:rowOff>107950</xdr:rowOff>
                  </from>
                  <to>
                    <xdr:col>2</xdr:col>
                    <xdr:colOff>203200</xdr:colOff>
                    <xdr:row>20</xdr:row>
                    <xdr:rowOff>12700</xdr:rowOff>
                  </to>
                </anchor>
              </controlPr>
            </control>
          </mc:Choice>
        </mc:AlternateContent>
        <mc:AlternateContent xmlns:mc="http://schemas.openxmlformats.org/markup-compatibility/2006">
          <mc:Choice Requires="x14">
            <control shapeId="18454" r:id="rId16" name="Check Box 22">
              <controlPr defaultSize="0" autoFill="0" autoLine="0" autoPict="0">
                <anchor moveWithCells="1">
                  <from>
                    <xdr:col>2</xdr:col>
                    <xdr:colOff>0</xdr:colOff>
                    <xdr:row>19</xdr:row>
                    <xdr:rowOff>107950</xdr:rowOff>
                  </from>
                  <to>
                    <xdr:col>2</xdr:col>
                    <xdr:colOff>203200</xdr:colOff>
                    <xdr:row>21</xdr:row>
                    <xdr:rowOff>12700</xdr:rowOff>
                  </to>
                </anchor>
              </controlPr>
            </control>
          </mc:Choice>
        </mc:AlternateContent>
        <mc:AlternateContent xmlns:mc="http://schemas.openxmlformats.org/markup-compatibility/2006">
          <mc:Choice Requires="x14">
            <control shapeId="18455" r:id="rId17" name="Check Box 23">
              <controlPr defaultSize="0" autoFill="0" autoLine="0" autoPict="0">
                <anchor moveWithCells="1">
                  <from>
                    <xdr:col>2</xdr:col>
                    <xdr:colOff>0</xdr:colOff>
                    <xdr:row>20</xdr:row>
                    <xdr:rowOff>107950</xdr:rowOff>
                  </from>
                  <to>
                    <xdr:col>2</xdr:col>
                    <xdr:colOff>203200</xdr:colOff>
                    <xdr:row>22</xdr:row>
                    <xdr:rowOff>12700</xdr:rowOff>
                  </to>
                </anchor>
              </controlPr>
            </control>
          </mc:Choice>
        </mc:AlternateContent>
        <mc:AlternateContent xmlns:mc="http://schemas.openxmlformats.org/markup-compatibility/2006">
          <mc:Choice Requires="x14">
            <control shapeId="18456" r:id="rId18" name="Check Box 24">
              <controlPr defaultSize="0" autoFill="0" autoLine="0" autoPict="0">
                <anchor moveWithCells="1">
                  <from>
                    <xdr:col>2</xdr:col>
                    <xdr:colOff>0</xdr:colOff>
                    <xdr:row>21</xdr:row>
                    <xdr:rowOff>107950</xdr:rowOff>
                  </from>
                  <to>
                    <xdr:col>2</xdr:col>
                    <xdr:colOff>203200</xdr:colOff>
                    <xdr:row>23</xdr:row>
                    <xdr:rowOff>12700</xdr:rowOff>
                  </to>
                </anchor>
              </controlPr>
            </control>
          </mc:Choice>
        </mc:AlternateContent>
        <mc:AlternateContent xmlns:mc="http://schemas.openxmlformats.org/markup-compatibility/2006">
          <mc:Choice Requires="x14">
            <control shapeId="18457" r:id="rId19" name="Check Box 25">
              <controlPr defaultSize="0" autoFill="0" autoLine="0" autoPict="0">
                <anchor moveWithCells="1">
                  <from>
                    <xdr:col>2</xdr:col>
                    <xdr:colOff>0</xdr:colOff>
                    <xdr:row>22</xdr:row>
                    <xdr:rowOff>107950</xdr:rowOff>
                  </from>
                  <to>
                    <xdr:col>2</xdr:col>
                    <xdr:colOff>203200</xdr:colOff>
                    <xdr:row>24</xdr:row>
                    <xdr:rowOff>12700</xdr:rowOff>
                  </to>
                </anchor>
              </controlPr>
            </control>
          </mc:Choice>
        </mc:AlternateContent>
        <mc:AlternateContent xmlns:mc="http://schemas.openxmlformats.org/markup-compatibility/2006">
          <mc:Choice Requires="x14">
            <control shapeId="18458" r:id="rId20" name="Check Box 26">
              <controlPr defaultSize="0" autoFill="0" autoLine="0" autoPict="0">
                <anchor moveWithCells="1">
                  <from>
                    <xdr:col>2</xdr:col>
                    <xdr:colOff>0</xdr:colOff>
                    <xdr:row>23</xdr:row>
                    <xdr:rowOff>107950</xdr:rowOff>
                  </from>
                  <to>
                    <xdr:col>2</xdr:col>
                    <xdr:colOff>203200</xdr:colOff>
                    <xdr:row>25</xdr:row>
                    <xdr:rowOff>12700</xdr:rowOff>
                  </to>
                </anchor>
              </controlPr>
            </control>
          </mc:Choice>
        </mc:AlternateContent>
        <mc:AlternateContent xmlns:mc="http://schemas.openxmlformats.org/markup-compatibility/2006">
          <mc:Choice Requires="x14">
            <control shapeId="18459" r:id="rId21" name="Check Box 27">
              <controlPr defaultSize="0" autoFill="0" autoLine="0" autoPict="0">
                <anchor moveWithCells="1">
                  <from>
                    <xdr:col>2</xdr:col>
                    <xdr:colOff>0</xdr:colOff>
                    <xdr:row>24</xdr:row>
                    <xdr:rowOff>107950</xdr:rowOff>
                  </from>
                  <to>
                    <xdr:col>2</xdr:col>
                    <xdr:colOff>203200</xdr:colOff>
                    <xdr:row>26</xdr:row>
                    <xdr:rowOff>12700</xdr:rowOff>
                  </to>
                </anchor>
              </controlPr>
            </control>
          </mc:Choice>
        </mc:AlternateContent>
        <mc:AlternateContent xmlns:mc="http://schemas.openxmlformats.org/markup-compatibility/2006">
          <mc:Choice Requires="x14">
            <control shapeId="18460" r:id="rId22" name="Check Box 28">
              <controlPr defaultSize="0" autoFill="0" autoLine="0" autoPict="0">
                <anchor moveWithCells="1">
                  <from>
                    <xdr:col>2</xdr:col>
                    <xdr:colOff>0</xdr:colOff>
                    <xdr:row>25</xdr:row>
                    <xdr:rowOff>107950</xdr:rowOff>
                  </from>
                  <to>
                    <xdr:col>2</xdr:col>
                    <xdr:colOff>203200</xdr:colOff>
                    <xdr:row>27</xdr:row>
                    <xdr:rowOff>12700</xdr:rowOff>
                  </to>
                </anchor>
              </controlPr>
            </control>
          </mc:Choice>
        </mc:AlternateContent>
        <mc:AlternateContent xmlns:mc="http://schemas.openxmlformats.org/markup-compatibility/2006">
          <mc:Choice Requires="x14">
            <control shapeId="18461" r:id="rId23" name="Check Box 29">
              <controlPr defaultSize="0" autoFill="0" autoLine="0" autoPict="0">
                <anchor moveWithCells="1">
                  <from>
                    <xdr:col>2</xdr:col>
                    <xdr:colOff>0</xdr:colOff>
                    <xdr:row>26</xdr:row>
                    <xdr:rowOff>107950</xdr:rowOff>
                  </from>
                  <to>
                    <xdr:col>2</xdr:col>
                    <xdr:colOff>203200</xdr:colOff>
                    <xdr:row>28</xdr:row>
                    <xdr:rowOff>12700</xdr:rowOff>
                  </to>
                </anchor>
              </controlPr>
            </control>
          </mc:Choice>
        </mc:AlternateContent>
        <mc:AlternateContent xmlns:mc="http://schemas.openxmlformats.org/markup-compatibility/2006">
          <mc:Choice Requires="x14">
            <control shapeId="18462" r:id="rId24" name="Check Box 30">
              <controlPr defaultSize="0" autoFill="0" autoLine="0" autoPict="0">
                <anchor moveWithCells="1">
                  <from>
                    <xdr:col>2</xdr:col>
                    <xdr:colOff>0</xdr:colOff>
                    <xdr:row>27</xdr:row>
                    <xdr:rowOff>107950</xdr:rowOff>
                  </from>
                  <to>
                    <xdr:col>2</xdr:col>
                    <xdr:colOff>203200</xdr:colOff>
                    <xdr:row>29</xdr:row>
                    <xdr:rowOff>12700</xdr:rowOff>
                  </to>
                </anchor>
              </controlPr>
            </control>
          </mc:Choice>
        </mc:AlternateContent>
        <mc:AlternateContent xmlns:mc="http://schemas.openxmlformats.org/markup-compatibility/2006">
          <mc:Choice Requires="x14">
            <control shapeId="18463" r:id="rId25" name="Check Box 31">
              <controlPr defaultSize="0" autoFill="0" autoLine="0" autoPict="0">
                <anchor moveWithCells="1">
                  <from>
                    <xdr:col>2</xdr:col>
                    <xdr:colOff>0</xdr:colOff>
                    <xdr:row>28</xdr:row>
                    <xdr:rowOff>107950</xdr:rowOff>
                  </from>
                  <to>
                    <xdr:col>2</xdr:col>
                    <xdr:colOff>203200</xdr:colOff>
                    <xdr:row>30</xdr:row>
                    <xdr:rowOff>12700</xdr:rowOff>
                  </to>
                </anchor>
              </controlPr>
            </control>
          </mc:Choice>
        </mc:AlternateContent>
        <mc:AlternateContent xmlns:mc="http://schemas.openxmlformats.org/markup-compatibility/2006">
          <mc:Choice Requires="x14">
            <control shapeId="18464" r:id="rId26" name="Check Box 32">
              <controlPr defaultSize="0" autoFill="0" autoLine="0" autoPict="0">
                <anchor moveWithCells="1">
                  <from>
                    <xdr:col>2</xdr:col>
                    <xdr:colOff>0</xdr:colOff>
                    <xdr:row>29</xdr:row>
                    <xdr:rowOff>107950</xdr:rowOff>
                  </from>
                  <to>
                    <xdr:col>2</xdr:col>
                    <xdr:colOff>203200</xdr:colOff>
                    <xdr:row>31</xdr:row>
                    <xdr:rowOff>12700</xdr:rowOff>
                  </to>
                </anchor>
              </controlPr>
            </control>
          </mc:Choice>
        </mc:AlternateContent>
        <mc:AlternateContent xmlns:mc="http://schemas.openxmlformats.org/markup-compatibility/2006">
          <mc:Choice Requires="x14">
            <control shapeId="18465" r:id="rId27" name="Check Box 33">
              <controlPr defaultSize="0" autoFill="0" autoLine="0" autoPict="0">
                <anchor moveWithCells="1">
                  <from>
                    <xdr:col>2</xdr:col>
                    <xdr:colOff>0</xdr:colOff>
                    <xdr:row>30</xdr:row>
                    <xdr:rowOff>107950</xdr:rowOff>
                  </from>
                  <to>
                    <xdr:col>2</xdr:col>
                    <xdr:colOff>203200</xdr:colOff>
                    <xdr:row>32</xdr:row>
                    <xdr:rowOff>12700</xdr:rowOff>
                  </to>
                </anchor>
              </controlPr>
            </control>
          </mc:Choice>
        </mc:AlternateContent>
        <mc:AlternateContent xmlns:mc="http://schemas.openxmlformats.org/markup-compatibility/2006">
          <mc:Choice Requires="x14">
            <control shapeId="18466" r:id="rId28" name="Check Box 34">
              <controlPr defaultSize="0" autoFill="0" autoLine="0" autoPict="0">
                <anchor moveWithCells="1">
                  <from>
                    <xdr:col>2</xdr:col>
                    <xdr:colOff>0</xdr:colOff>
                    <xdr:row>31</xdr:row>
                    <xdr:rowOff>107950</xdr:rowOff>
                  </from>
                  <to>
                    <xdr:col>2</xdr:col>
                    <xdr:colOff>203200</xdr:colOff>
                    <xdr:row>33</xdr:row>
                    <xdr:rowOff>12700</xdr:rowOff>
                  </to>
                </anchor>
              </controlPr>
            </control>
          </mc:Choice>
        </mc:AlternateContent>
        <mc:AlternateContent xmlns:mc="http://schemas.openxmlformats.org/markup-compatibility/2006">
          <mc:Choice Requires="x14">
            <control shapeId="18467" r:id="rId29" name="Check Box 35">
              <controlPr defaultSize="0" autoFill="0" autoLine="0" autoPict="0">
                <anchor moveWithCells="1">
                  <from>
                    <xdr:col>2</xdr:col>
                    <xdr:colOff>0</xdr:colOff>
                    <xdr:row>32</xdr:row>
                    <xdr:rowOff>107950</xdr:rowOff>
                  </from>
                  <to>
                    <xdr:col>2</xdr:col>
                    <xdr:colOff>203200</xdr:colOff>
                    <xdr:row>34</xdr:row>
                    <xdr:rowOff>12700</xdr:rowOff>
                  </to>
                </anchor>
              </controlPr>
            </control>
          </mc:Choice>
        </mc:AlternateContent>
        <mc:AlternateContent xmlns:mc="http://schemas.openxmlformats.org/markup-compatibility/2006">
          <mc:Choice Requires="x14">
            <control shapeId="18468" r:id="rId30" name="Check Box 36">
              <controlPr defaultSize="0" autoFill="0" autoLine="0" autoPict="0">
                <anchor moveWithCells="1">
                  <from>
                    <xdr:col>2</xdr:col>
                    <xdr:colOff>0</xdr:colOff>
                    <xdr:row>33</xdr:row>
                    <xdr:rowOff>107950</xdr:rowOff>
                  </from>
                  <to>
                    <xdr:col>2</xdr:col>
                    <xdr:colOff>203200</xdr:colOff>
                    <xdr:row>35</xdr:row>
                    <xdr:rowOff>12700</xdr:rowOff>
                  </to>
                </anchor>
              </controlPr>
            </control>
          </mc:Choice>
        </mc:AlternateContent>
        <mc:AlternateContent xmlns:mc="http://schemas.openxmlformats.org/markup-compatibility/2006">
          <mc:Choice Requires="x14">
            <control shapeId="18469" r:id="rId31" name="Check Box 37">
              <controlPr defaultSize="0" autoFill="0" autoLine="0" autoPict="0">
                <anchor moveWithCells="1">
                  <from>
                    <xdr:col>2</xdr:col>
                    <xdr:colOff>0</xdr:colOff>
                    <xdr:row>34</xdr:row>
                    <xdr:rowOff>107950</xdr:rowOff>
                  </from>
                  <to>
                    <xdr:col>2</xdr:col>
                    <xdr:colOff>203200</xdr:colOff>
                    <xdr:row>36</xdr:row>
                    <xdr:rowOff>12700</xdr:rowOff>
                  </to>
                </anchor>
              </controlPr>
            </control>
          </mc:Choice>
        </mc:AlternateContent>
        <mc:AlternateContent xmlns:mc="http://schemas.openxmlformats.org/markup-compatibility/2006">
          <mc:Choice Requires="x14">
            <control shapeId="18470" r:id="rId32" name="Check Box 38">
              <controlPr defaultSize="0" autoFill="0" autoLine="0" autoPict="0">
                <anchor moveWithCells="1">
                  <from>
                    <xdr:col>2</xdr:col>
                    <xdr:colOff>0</xdr:colOff>
                    <xdr:row>35</xdr:row>
                    <xdr:rowOff>107950</xdr:rowOff>
                  </from>
                  <to>
                    <xdr:col>2</xdr:col>
                    <xdr:colOff>203200</xdr:colOff>
                    <xdr:row>37</xdr:row>
                    <xdr:rowOff>12700</xdr:rowOff>
                  </to>
                </anchor>
              </controlPr>
            </control>
          </mc:Choice>
        </mc:AlternateContent>
        <mc:AlternateContent xmlns:mc="http://schemas.openxmlformats.org/markup-compatibility/2006">
          <mc:Choice Requires="x14">
            <control shapeId="18471" r:id="rId33" name="Check Box 39">
              <controlPr defaultSize="0" autoFill="0" autoLine="0" autoPict="0">
                <anchor moveWithCells="1">
                  <from>
                    <xdr:col>2</xdr:col>
                    <xdr:colOff>0</xdr:colOff>
                    <xdr:row>36</xdr:row>
                    <xdr:rowOff>107950</xdr:rowOff>
                  </from>
                  <to>
                    <xdr:col>2</xdr:col>
                    <xdr:colOff>203200</xdr:colOff>
                    <xdr:row>38</xdr:row>
                    <xdr:rowOff>12700</xdr:rowOff>
                  </to>
                </anchor>
              </controlPr>
            </control>
          </mc:Choice>
        </mc:AlternateContent>
        <mc:AlternateContent xmlns:mc="http://schemas.openxmlformats.org/markup-compatibility/2006">
          <mc:Choice Requires="x14">
            <control shapeId="18472" r:id="rId34" name="Check Box 40">
              <controlPr defaultSize="0" autoFill="0" autoLine="0" autoPict="0">
                <anchor moveWithCells="1">
                  <from>
                    <xdr:col>2</xdr:col>
                    <xdr:colOff>0</xdr:colOff>
                    <xdr:row>37</xdr:row>
                    <xdr:rowOff>107950</xdr:rowOff>
                  </from>
                  <to>
                    <xdr:col>2</xdr:col>
                    <xdr:colOff>203200</xdr:colOff>
                    <xdr:row>39</xdr:row>
                    <xdr:rowOff>12700</xdr:rowOff>
                  </to>
                </anchor>
              </controlPr>
            </control>
          </mc:Choice>
        </mc:AlternateContent>
        <mc:AlternateContent xmlns:mc="http://schemas.openxmlformats.org/markup-compatibility/2006">
          <mc:Choice Requires="x14">
            <control shapeId="18473" r:id="rId35" name="Check Box 41">
              <controlPr defaultSize="0" autoFill="0" autoLine="0" autoPict="0">
                <anchor moveWithCells="1">
                  <from>
                    <xdr:col>2</xdr:col>
                    <xdr:colOff>0</xdr:colOff>
                    <xdr:row>38</xdr:row>
                    <xdr:rowOff>107950</xdr:rowOff>
                  </from>
                  <to>
                    <xdr:col>2</xdr:col>
                    <xdr:colOff>203200</xdr:colOff>
                    <xdr:row>40</xdr:row>
                    <xdr:rowOff>12700</xdr:rowOff>
                  </to>
                </anchor>
              </controlPr>
            </control>
          </mc:Choice>
        </mc:AlternateContent>
        <mc:AlternateContent xmlns:mc="http://schemas.openxmlformats.org/markup-compatibility/2006">
          <mc:Choice Requires="x14">
            <control shapeId="18474" r:id="rId36" name="Check Box 42">
              <controlPr defaultSize="0" autoFill="0" autoLine="0" autoPict="0">
                <anchor moveWithCells="1">
                  <from>
                    <xdr:col>2</xdr:col>
                    <xdr:colOff>0</xdr:colOff>
                    <xdr:row>39</xdr:row>
                    <xdr:rowOff>107950</xdr:rowOff>
                  </from>
                  <to>
                    <xdr:col>2</xdr:col>
                    <xdr:colOff>203200</xdr:colOff>
                    <xdr:row>41</xdr:row>
                    <xdr:rowOff>12700</xdr:rowOff>
                  </to>
                </anchor>
              </controlPr>
            </control>
          </mc:Choice>
        </mc:AlternateContent>
        <mc:AlternateContent xmlns:mc="http://schemas.openxmlformats.org/markup-compatibility/2006">
          <mc:Choice Requires="x14">
            <control shapeId="18475" r:id="rId37" name="Check Box 43">
              <controlPr defaultSize="0" autoFill="0" autoLine="0" autoPict="0">
                <anchor moveWithCells="1">
                  <from>
                    <xdr:col>2</xdr:col>
                    <xdr:colOff>0</xdr:colOff>
                    <xdr:row>40</xdr:row>
                    <xdr:rowOff>107950</xdr:rowOff>
                  </from>
                  <to>
                    <xdr:col>2</xdr:col>
                    <xdr:colOff>203200</xdr:colOff>
                    <xdr:row>42</xdr:row>
                    <xdr:rowOff>12700</xdr:rowOff>
                  </to>
                </anchor>
              </controlPr>
            </control>
          </mc:Choice>
        </mc:AlternateContent>
        <mc:AlternateContent xmlns:mc="http://schemas.openxmlformats.org/markup-compatibility/2006">
          <mc:Choice Requires="x14">
            <control shapeId="18476" r:id="rId38" name="Check Box 44">
              <controlPr defaultSize="0" autoFill="0" autoLine="0" autoPict="0">
                <anchor moveWithCells="1">
                  <from>
                    <xdr:col>2</xdr:col>
                    <xdr:colOff>0</xdr:colOff>
                    <xdr:row>41</xdr:row>
                    <xdr:rowOff>107950</xdr:rowOff>
                  </from>
                  <to>
                    <xdr:col>2</xdr:col>
                    <xdr:colOff>203200</xdr:colOff>
                    <xdr:row>43</xdr:row>
                    <xdr:rowOff>12700</xdr:rowOff>
                  </to>
                </anchor>
              </controlPr>
            </control>
          </mc:Choice>
        </mc:AlternateContent>
        <mc:AlternateContent xmlns:mc="http://schemas.openxmlformats.org/markup-compatibility/2006">
          <mc:Choice Requires="x14">
            <control shapeId="18477" r:id="rId39" name="Check Box 45">
              <controlPr defaultSize="0" autoFill="0" autoLine="0" autoPict="0">
                <anchor moveWithCells="1">
                  <from>
                    <xdr:col>2</xdr:col>
                    <xdr:colOff>0</xdr:colOff>
                    <xdr:row>42</xdr:row>
                    <xdr:rowOff>107950</xdr:rowOff>
                  </from>
                  <to>
                    <xdr:col>2</xdr:col>
                    <xdr:colOff>203200</xdr:colOff>
                    <xdr:row>44</xdr:row>
                    <xdr:rowOff>12700</xdr:rowOff>
                  </to>
                </anchor>
              </controlPr>
            </control>
          </mc:Choice>
        </mc:AlternateContent>
        <mc:AlternateContent xmlns:mc="http://schemas.openxmlformats.org/markup-compatibility/2006">
          <mc:Choice Requires="x14">
            <control shapeId="18481" r:id="rId40" name="Check Box 49">
              <controlPr defaultSize="0" autoFill="0" autoLine="0" autoPict="0">
                <anchor moveWithCells="1">
                  <from>
                    <xdr:col>2</xdr:col>
                    <xdr:colOff>0</xdr:colOff>
                    <xdr:row>43</xdr:row>
                    <xdr:rowOff>107950</xdr:rowOff>
                  </from>
                  <to>
                    <xdr:col>2</xdr:col>
                    <xdr:colOff>203200</xdr:colOff>
                    <xdr:row>45</xdr:row>
                    <xdr:rowOff>12700</xdr:rowOff>
                  </to>
                </anchor>
              </controlPr>
            </control>
          </mc:Choice>
        </mc:AlternateContent>
        <mc:AlternateContent xmlns:mc="http://schemas.openxmlformats.org/markup-compatibility/2006">
          <mc:Choice Requires="x14">
            <control shapeId="18482" r:id="rId41" name="Check Box 50">
              <controlPr defaultSize="0" autoFill="0" autoLine="0" autoPict="0">
                <anchor moveWithCells="1">
                  <from>
                    <xdr:col>2</xdr:col>
                    <xdr:colOff>0</xdr:colOff>
                    <xdr:row>44</xdr:row>
                    <xdr:rowOff>107950</xdr:rowOff>
                  </from>
                  <to>
                    <xdr:col>2</xdr:col>
                    <xdr:colOff>203200</xdr:colOff>
                    <xdr:row>46</xdr:row>
                    <xdr:rowOff>12700</xdr:rowOff>
                  </to>
                </anchor>
              </controlPr>
            </control>
          </mc:Choice>
        </mc:AlternateContent>
        <mc:AlternateContent xmlns:mc="http://schemas.openxmlformats.org/markup-compatibility/2006">
          <mc:Choice Requires="x14">
            <control shapeId="18483" r:id="rId42" name="Check Box 51">
              <controlPr defaultSize="0" autoFill="0" autoLine="0" autoPict="0">
                <anchor moveWithCells="1">
                  <from>
                    <xdr:col>2</xdr:col>
                    <xdr:colOff>0</xdr:colOff>
                    <xdr:row>45</xdr:row>
                    <xdr:rowOff>107950</xdr:rowOff>
                  </from>
                  <to>
                    <xdr:col>2</xdr:col>
                    <xdr:colOff>203200</xdr:colOff>
                    <xdr:row>47</xdr:row>
                    <xdr:rowOff>12700</xdr:rowOff>
                  </to>
                </anchor>
              </controlPr>
            </control>
          </mc:Choice>
        </mc:AlternateContent>
        <mc:AlternateContent xmlns:mc="http://schemas.openxmlformats.org/markup-compatibility/2006">
          <mc:Choice Requires="x14">
            <control shapeId="18484" r:id="rId43" name="Check Box 52">
              <controlPr defaultSize="0" autoFill="0" autoLine="0" autoPict="0">
                <anchor moveWithCells="1">
                  <from>
                    <xdr:col>2</xdr:col>
                    <xdr:colOff>0</xdr:colOff>
                    <xdr:row>46</xdr:row>
                    <xdr:rowOff>107950</xdr:rowOff>
                  </from>
                  <to>
                    <xdr:col>2</xdr:col>
                    <xdr:colOff>203200</xdr:colOff>
                    <xdr:row>48</xdr:row>
                    <xdr:rowOff>12700</xdr:rowOff>
                  </to>
                </anchor>
              </controlPr>
            </control>
          </mc:Choice>
        </mc:AlternateContent>
        <mc:AlternateContent xmlns:mc="http://schemas.openxmlformats.org/markup-compatibility/2006">
          <mc:Choice Requires="x14">
            <control shapeId="18485" r:id="rId44" name="Check Box 53">
              <controlPr defaultSize="0" autoFill="0" autoLine="0" autoPict="0">
                <anchor moveWithCells="1">
                  <from>
                    <xdr:col>2</xdr:col>
                    <xdr:colOff>0</xdr:colOff>
                    <xdr:row>47</xdr:row>
                    <xdr:rowOff>107950</xdr:rowOff>
                  </from>
                  <to>
                    <xdr:col>2</xdr:col>
                    <xdr:colOff>203200</xdr:colOff>
                    <xdr:row>49</xdr:row>
                    <xdr:rowOff>12700</xdr:rowOff>
                  </to>
                </anchor>
              </controlPr>
            </control>
          </mc:Choice>
        </mc:AlternateContent>
        <mc:AlternateContent xmlns:mc="http://schemas.openxmlformats.org/markup-compatibility/2006">
          <mc:Choice Requires="x14">
            <control shapeId="18486" r:id="rId45" name="Check Box 54">
              <controlPr defaultSize="0" autoFill="0" autoLine="0" autoPict="0">
                <anchor moveWithCells="1">
                  <from>
                    <xdr:col>2</xdr:col>
                    <xdr:colOff>0</xdr:colOff>
                    <xdr:row>48</xdr:row>
                    <xdr:rowOff>107950</xdr:rowOff>
                  </from>
                  <to>
                    <xdr:col>2</xdr:col>
                    <xdr:colOff>203200</xdr:colOff>
                    <xdr:row>50</xdr:row>
                    <xdr:rowOff>12700</xdr:rowOff>
                  </to>
                </anchor>
              </controlPr>
            </control>
          </mc:Choice>
        </mc:AlternateContent>
        <mc:AlternateContent xmlns:mc="http://schemas.openxmlformats.org/markup-compatibility/2006">
          <mc:Choice Requires="x14">
            <control shapeId="18487" r:id="rId46" name="Check Box 55">
              <controlPr defaultSize="0" autoFill="0" autoLine="0" autoPict="0">
                <anchor moveWithCells="1">
                  <from>
                    <xdr:col>2</xdr:col>
                    <xdr:colOff>0</xdr:colOff>
                    <xdr:row>49</xdr:row>
                    <xdr:rowOff>107950</xdr:rowOff>
                  </from>
                  <to>
                    <xdr:col>2</xdr:col>
                    <xdr:colOff>203200</xdr:colOff>
                    <xdr:row>51</xdr:row>
                    <xdr:rowOff>12700</xdr:rowOff>
                  </to>
                </anchor>
              </controlPr>
            </control>
          </mc:Choice>
        </mc:AlternateContent>
        <mc:AlternateContent xmlns:mc="http://schemas.openxmlformats.org/markup-compatibility/2006">
          <mc:Choice Requires="x14">
            <control shapeId="18488" r:id="rId47" name="Check Box 56">
              <controlPr defaultSize="0" autoFill="0" autoLine="0" autoPict="0">
                <anchor moveWithCells="1">
                  <from>
                    <xdr:col>2</xdr:col>
                    <xdr:colOff>0</xdr:colOff>
                    <xdr:row>50</xdr:row>
                    <xdr:rowOff>107950</xdr:rowOff>
                  </from>
                  <to>
                    <xdr:col>2</xdr:col>
                    <xdr:colOff>203200</xdr:colOff>
                    <xdr:row>52</xdr:row>
                    <xdr:rowOff>12700</xdr:rowOff>
                  </to>
                </anchor>
              </controlPr>
            </control>
          </mc:Choice>
        </mc:AlternateContent>
        <mc:AlternateContent xmlns:mc="http://schemas.openxmlformats.org/markup-compatibility/2006">
          <mc:Choice Requires="x14">
            <control shapeId="18489" r:id="rId48" name="Check Box 57">
              <controlPr defaultSize="0" autoFill="0" autoLine="0" autoPict="0">
                <anchor moveWithCells="1">
                  <from>
                    <xdr:col>2</xdr:col>
                    <xdr:colOff>0</xdr:colOff>
                    <xdr:row>51</xdr:row>
                    <xdr:rowOff>107950</xdr:rowOff>
                  </from>
                  <to>
                    <xdr:col>2</xdr:col>
                    <xdr:colOff>203200</xdr:colOff>
                    <xdr:row>53</xdr:row>
                    <xdr:rowOff>12700</xdr:rowOff>
                  </to>
                </anchor>
              </controlPr>
            </control>
          </mc:Choice>
        </mc:AlternateContent>
        <mc:AlternateContent xmlns:mc="http://schemas.openxmlformats.org/markup-compatibility/2006">
          <mc:Choice Requires="x14">
            <control shapeId="18490" r:id="rId49" name="Check Box 58">
              <controlPr defaultSize="0" autoFill="0" autoLine="0" autoPict="0">
                <anchor moveWithCells="1">
                  <from>
                    <xdr:col>2</xdr:col>
                    <xdr:colOff>0</xdr:colOff>
                    <xdr:row>52</xdr:row>
                    <xdr:rowOff>107950</xdr:rowOff>
                  </from>
                  <to>
                    <xdr:col>2</xdr:col>
                    <xdr:colOff>203200</xdr:colOff>
                    <xdr:row>54</xdr:row>
                    <xdr:rowOff>12700</xdr:rowOff>
                  </to>
                </anchor>
              </controlPr>
            </control>
          </mc:Choice>
        </mc:AlternateContent>
        <mc:AlternateContent xmlns:mc="http://schemas.openxmlformats.org/markup-compatibility/2006">
          <mc:Choice Requires="x14">
            <control shapeId="18491" r:id="rId50" name="Check Box 59">
              <controlPr defaultSize="0" autoFill="0" autoLine="0" autoPict="0">
                <anchor moveWithCells="1">
                  <from>
                    <xdr:col>2</xdr:col>
                    <xdr:colOff>0</xdr:colOff>
                    <xdr:row>53</xdr:row>
                    <xdr:rowOff>107950</xdr:rowOff>
                  </from>
                  <to>
                    <xdr:col>2</xdr:col>
                    <xdr:colOff>203200</xdr:colOff>
                    <xdr:row>55</xdr:row>
                    <xdr:rowOff>12700</xdr:rowOff>
                  </to>
                </anchor>
              </controlPr>
            </control>
          </mc:Choice>
        </mc:AlternateContent>
        <mc:AlternateContent xmlns:mc="http://schemas.openxmlformats.org/markup-compatibility/2006">
          <mc:Choice Requires="x14">
            <control shapeId="18492" r:id="rId51" name="Check Box 60">
              <controlPr defaultSize="0" autoFill="0" autoLine="0" autoPict="0">
                <anchor moveWithCells="1">
                  <from>
                    <xdr:col>2</xdr:col>
                    <xdr:colOff>0</xdr:colOff>
                    <xdr:row>54</xdr:row>
                    <xdr:rowOff>107950</xdr:rowOff>
                  </from>
                  <to>
                    <xdr:col>2</xdr:col>
                    <xdr:colOff>203200</xdr:colOff>
                    <xdr:row>56</xdr:row>
                    <xdr:rowOff>12700</xdr:rowOff>
                  </to>
                </anchor>
              </controlPr>
            </control>
          </mc:Choice>
        </mc:AlternateContent>
        <mc:AlternateContent xmlns:mc="http://schemas.openxmlformats.org/markup-compatibility/2006">
          <mc:Choice Requires="x14">
            <control shapeId="18493" r:id="rId52" name="Check Box 61">
              <controlPr defaultSize="0" autoFill="0" autoLine="0" autoPict="0">
                <anchor moveWithCells="1">
                  <from>
                    <xdr:col>2</xdr:col>
                    <xdr:colOff>0</xdr:colOff>
                    <xdr:row>56</xdr:row>
                    <xdr:rowOff>107950</xdr:rowOff>
                  </from>
                  <to>
                    <xdr:col>2</xdr:col>
                    <xdr:colOff>203200</xdr:colOff>
                    <xdr:row>58</xdr:row>
                    <xdr:rowOff>12700</xdr:rowOff>
                  </to>
                </anchor>
              </controlPr>
            </control>
          </mc:Choice>
        </mc:AlternateContent>
        <mc:AlternateContent xmlns:mc="http://schemas.openxmlformats.org/markup-compatibility/2006">
          <mc:Choice Requires="x14">
            <control shapeId="18494" r:id="rId53" name="Check Box 62">
              <controlPr defaultSize="0" autoFill="0" autoLine="0" autoPict="0">
                <anchor moveWithCells="1">
                  <from>
                    <xdr:col>2</xdr:col>
                    <xdr:colOff>0</xdr:colOff>
                    <xdr:row>57</xdr:row>
                    <xdr:rowOff>107950</xdr:rowOff>
                  </from>
                  <to>
                    <xdr:col>2</xdr:col>
                    <xdr:colOff>203200</xdr:colOff>
                    <xdr:row>59</xdr:row>
                    <xdr:rowOff>12700</xdr:rowOff>
                  </to>
                </anchor>
              </controlPr>
            </control>
          </mc:Choice>
        </mc:AlternateContent>
        <mc:AlternateContent xmlns:mc="http://schemas.openxmlformats.org/markup-compatibility/2006">
          <mc:Choice Requires="x14">
            <control shapeId="18495" r:id="rId54" name="Check Box 63">
              <controlPr defaultSize="0" autoFill="0" autoLine="0" autoPict="0">
                <anchor moveWithCells="1">
                  <from>
                    <xdr:col>2</xdr:col>
                    <xdr:colOff>0</xdr:colOff>
                    <xdr:row>55</xdr:row>
                    <xdr:rowOff>107950</xdr:rowOff>
                  </from>
                  <to>
                    <xdr:col>2</xdr:col>
                    <xdr:colOff>203200</xdr:colOff>
                    <xdr:row>57</xdr:row>
                    <xdr:rowOff>12700</xdr:rowOff>
                  </to>
                </anchor>
              </controlPr>
            </control>
          </mc:Choice>
        </mc:AlternateContent>
        <mc:AlternateContent xmlns:mc="http://schemas.openxmlformats.org/markup-compatibility/2006">
          <mc:Choice Requires="x14">
            <control shapeId="18496" r:id="rId55" name="Check Box 64">
              <controlPr defaultSize="0" autoFill="0" autoLine="0" autoPict="0">
                <anchor moveWithCells="1">
                  <from>
                    <xdr:col>2</xdr:col>
                    <xdr:colOff>0</xdr:colOff>
                    <xdr:row>58</xdr:row>
                    <xdr:rowOff>107950</xdr:rowOff>
                  </from>
                  <to>
                    <xdr:col>2</xdr:col>
                    <xdr:colOff>203200</xdr:colOff>
                    <xdr:row>60</xdr:row>
                    <xdr:rowOff>12700</xdr:rowOff>
                  </to>
                </anchor>
              </controlPr>
            </control>
          </mc:Choice>
        </mc:AlternateContent>
        <mc:AlternateContent xmlns:mc="http://schemas.openxmlformats.org/markup-compatibility/2006">
          <mc:Choice Requires="x14">
            <control shapeId="18497" r:id="rId56" name="Check Box 65">
              <controlPr defaultSize="0" autoFill="0" autoLine="0" autoPict="0">
                <anchor moveWithCells="1">
                  <from>
                    <xdr:col>2</xdr:col>
                    <xdr:colOff>0</xdr:colOff>
                    <xdr:row>59</xdr:row>
                    <xdr:rowOff>107950</xdr:rowOff>
                  </from>
                  <to>
                    <xdr:col>2</xdr:col>
                    <xdr:colOff>203200</xdr:colOff>
                    <xdr:row>61</xdr:row>
                    <xdr:rowOff>12700</xdr:rowOff>
                  </to>
                </anchor>
              </controlPr>
            </control>
          </mc:Choice>
        </mc:AlternateContent>
        <mc:AlternateContent xmlns:mc="http://schemas.openxmlformats.org/markup-compatibility/2006">
          <mc:Choice Requires="x14">
            <control shapeId="18498" r:id="rId57" name="Check Box 66">
              <controlPr defaultSize="0" autoFill="0" autoLine="0" autoPict="0">
                <anchor moveWithCells="1">
                  <from>
                    <xdr:col>2</xdr:col>
                    <xdr:colOff>0</xdr:colOff>
                    <xdr:row>60</xdr:row>
                    <xdr:rowOff>107950</xdr:rowOff>
                  </from>
                  <to>
                    <xdr:col>2</xdr:col>
                    <xdr:colOff>203200</xdr:colOff>
                    <xdr:row>62</xdr:row>
                    <xdr:rowOff>12700</xdr:rowOff>
                  </to>
                </anchor>
              </controlPr>
            </control>
          </mc:Choice>
        </mc:AlternateContent>
        <mc:AlternateContent xmlns:mc="http://schemas.openxmlformats.org/markup-compatibility/2006">
          <mc:Choice Requires="x14">
            <control shapeId="18499" r:id="rId58" name="Check Box 67">
              <controlPr defaultSize="0" autoFill="0" autoLine="0" autoPict="0">
                <anchor moveWithCells="1">
                  <from>
                    <xdr:col>2</xdr:col>
                    <xdr:colOff>0</xdr:colOff>
                    <xdr:row>61</xdr:row>
                    <xdr:rowOff>107950</xdr:rowOff>
                  </from>
                  <to>
                    <xdr:col>2</xdr:col>
                    <xdr:colOff>203200</xdr:colOff>
                    <xdr:row>63</xdr:row>
                    <xdr:rowOff>12700</xdr:rowOff>
                  </to>
                </anchor>
              </controlPr>
            </control>
          </mc:Choice>
        </mc:AlternateContent>
        <mc:AlternateContent xmlns:mc="http://schemas.openxmlformats.org/markup-compatibility/2006">
          <mc:Choice Requires="x14">
            <control shapeId="18500" r:id="rId59" name="Check Box 68">
              <controlPr defaultSize="0" autoFill="0" autoLine="0" autoPict="0">
                <anchor moveWithCells="1">
                  <from>
                    <xdr:col>2</xdr:col>
                    <xdr:colOff>0</xdr:colOff>
                    <xdr:row>62</xdr:row>
                    <xdr:rowOff>107950</xdr:rowOff>
                  </from>
                  <to>
                    <xdr:col>2</xdr:col>
                    <xdr:colOff>203200</xdr:colOff>
                    <xdr:row>64</xdr:row>
                    <xdr:rowOff>12700</xdr:rowOff>
                  </to>
                </anchor>
              </controlPr>
            </control>
          </mc:Choice>
        </mc:AlternateContent>
        <mc:AlternateContent xmlns:mc="http://schemas.openxmlformats.org/markup-compatibility/2006">
          <mc:Choice Requires="x14">
            <control shapeId="18501" r:id="rId60" name="Check Box 69">
              <controlPr defaultSize="0" autoFill="0" autoLine="0" autoPict="0">
                <anchor moveWithCells="1">
                  <from>
                    <xdr:col>2</xdr:col>
                    <xdr:colOff>0</xdr:colOff>
                    <xdr:row>63</xdr:row>
                    <xdr:rowOff>107950</xdr:rowOff>
                  </from>
                  <to>
                    <xdr:col>2</xdr:col>
                    <xdr:colOff>203200</xdr:colOff>
                    <xdr:row>65</xdr:row>
                    <xdr:rowOff>12700</xdr:rowOff>
                  </to>
                </anchor>
              </controlPr>
            </control>
          </mc:Choice>
        </mc:AlternateContent>
        <mc:AlternateContent xmlns:mc="http://schemas.openxmlformats.org/markup-compatibility/2006">
          <mc:Choice Requires="x14">
            <control shapeId="18502" r:id="rId61" name="Check Box 70">
              <controlPr defaultSize="0" autoFill="0" autoLine="0" autoPict="0">
                <anchor moveWithCells="1">
                  <from>
                    <xdr:col>2</xdr:col>
                    <xdr:colOff>0</xdr:colOff>
                    <xdr:row>64</xdr:row>
                    <xdr:rowOff>107950</xdr:rowOff>
                  </from>
                  <to>
                    <xdr:col>2</xdr:col>
                    <xdr:colOff>203200</xdr:colOff>
                    <xdr:row>66</xdr:row>
                    <xdr:rowOff>12700</xdr:rowOff>
                  </to>
                </anchor>
              </controlPr>
            </control>
          </mc:Choice>
        </mc:AlternateContent>
        <mc:AlternateContent xmlns:mc="http://schemas.openxmlformats.org/markup-compatibility/2006">
          <mc:Choice Requires="x14">
            <control shapeId="18503" r:id="rId62" name="Check Box 71">
              <controlPr defaultSize="0" autoFill="0" autoLine="0" autoPict="0">
                <anchor moveWithCells="1">
                  <from>
                    <xdr:col>2</xdr:col>
                    <xdr:colOff>0</xdr:colOff>
                    <xdr:row>65</xdr:row>
                    <xdr:rowOff>107950</xdr:rowOff>
                  </from>
                  <to>
                    <xdr:col>2</xdr:col>
                    <xdr:colOff>203200</xdr:colOff>
                    <xdr:row>67</xdr:row>
                    <xdr:rowOff>12700</xdr:rowOff>
                  </to>
                </anchor>
              </controlPr>
            </control>
          </mc:Choice>
        </mc:AlternateContent>
        <mc:AlternateContent xmlns:mc="http://schemas.openxmlformats.org/markup-compatibility/2006">
          <mc:Choice Requires="x14">
            <control shapeId="18504" r:id="rId63" name="Check Box 72">
              <controlPr defaultSize="0" autoFill="0" autoLine="0" autoPict="0">
                <anchor moveWithCells="1">
                  <from>
                    <xdr:col>2</xdr:col>
                    <xdr:colOff>0</xdr:colOff>
                    <xdr:row>66</xdr:row>
                    <xdr:rowOff>107950</xdr:rowOff>
                  </from>
                  <to>
                    <xdr:col>2</xdr:col>
                    <xdr:colOff>203200</xdr:colOff>
                    <xdr:row>68</xdr:row>
                    <xdr:rowOff>12700</xdr:rowOff>
                  </to>
                </anchor>
              </controlPr>
            </control>
          </mc:Choice>
        </mc:AlternateContent>
        <mc:AlternateContent xmlns:mc="http://schemas.openxmlformats.org/markup-compatibility/2006">
          <mc:Choice Requires="x14">
            <control shapeId="18505" r:id="rId64" name="Check Box 73">
              <controlPr defaultSize="0" autoFill="0" autoLine="0" autoPict="0">
                <anchor moveWithCells="1">
                  <from>
                    <xdr:col>2</xdr:col>
                    <xdr:colOff>0</xdr:colOff>
                    <xdr:row>67</xdr:row>
                    <xdr:rowOff>107950</xdr:rowOff>
                  </from>
                  <to>
                    <xdr:col>2</xdr:col>
                    <xdr:colOff>203200</xdr:colOff>
                    <xdr:row>69</xdr:row>
                    <xdr:rowOff>12700</xdr:rowOff>
                  </to>
                </anchor>
              </controlPr>
            </control>
          </mc:Choice>
        </mc:AlternateContent>
        <mc:AlternateContent xmlns:mc="http://schemas.openxmlformats.org/markup-compatibility/2006">
          <mc:Choice Requires="x14">
            <control shapeId="18506" r:id="rId65" name="Check Box 74">
              <controlPr defaultSize="0" autoFill="0" autoLine="0" autoPict="0">
                <anchor moveWithCells="1">
                  <from>
                    <xdr:col>2</xdr:col>
                    <xdr:colOff>0</xdr:colOff>
                    <xdr:row>68</xdr:row>
                    <xdr:rowOff>107950</xdr:rowOff>
                  </from>
                  <to>
                    <xdr:col>2</xdr:col>
                    <xdr:colOff>203200</xdr:colOff>
                    <xdr:row>70</xdr:row>
                    <xdr:rowOff>12700</xdr:rowOff>
                  </to>
                </anchor>
              </controlPr>
            </control>
          </mc:Choice>
        </mc:AlternateContent>
        <mc:AlternateContent xmlns:mc="http://schemas.openxmlformats.org/markup-compatibility/2006">
          <mc:Choice Requires="x14">
            <control shapeId="18507" r:id="rId66" name="Check Box 75">
              <controlPr defaultSize="0" autoFill="0" autoLine="0" autoPict="0">
                <anchor moveWithCells="1">
                  <from>
                    <xdr:col>2</xdr:col>
                    <xdr:colOff>0</xdr:colOff>
                    <xdr:row>69</xdr:row>
                    <xdr:rowOff>107950</xdr:rowOff>
                  </from>
                  <to>
                    <xdr:col>2</xdr:col>
                    <xdr:colOff>203200</xdr:colOff>
                    <xdr:row>71</xdr:row>
                    <xdr:rowOff>12700</xdr:rowOff>
                  </to>
                </anchor>
              </controlPr>
            </control>
          </mc:Choice>
        </mc:AlternateContent>
        <mc:AlternateContent xmlns:mc="http://schemas.openxmlformats.org/markup-compatibility/2006">
          <mc:Choice Requires="x14">
            <control shapeId="18508" r:id="rId67" name="Check Box 76">
              <controlPr defaultSize="0" autoFill="0" autoLine="0" autoPict="0">
                <anchor moveWithCells="1">
                  <from>
                    <xdr:col>2</xdr:col>
                    <xdr:colOff>0</xdr:colOff>
                    <xdr:row>70</xdr:row>
                    <xdr:rowOff>107950</xdr:rowOff>
                  </from>
                  <to>
                    <xdr:col>2</xdr:col>
                    <xdr:colOff>203200</xdr:colOff>
                    <xdr:row>72</xdr:row>
                    <xdr:rowOff>12700</xdr:rowOff>
                  </to>
                </anchor>
              </controlPr>
            </control>
          </mc:Choice>
        </mc:AlternateContent>
        <mc:AlternateContent xmlns:mc="http://schemas.openxmlformats.org/markup-compatibility/2006">
          <mc:Choice Requires="x14">
            <control shapeId="18509" r:id="rId68" name="Check Box 77">
              <controlPr defaultSize="0" autoFill="0" autoLine="0" autoPict="0">
                <anchor moveWithCells="1">
                  <from>
                    <xdr:col>2</xdr:col>
                    <xdr:colOff>0</xdr:colOff>
                    <xdr:row>71</xdr:row>
                    <xdr:rowOff>107950</xdr:rowOff>
                  </from>
                  <to>
                    <xdr:col>2</xdr:col>
                    <xdr:colOff>203200</xdr:colOff>
                    <xdr:row>73</xdr:row>
                    <xdr:rowOff>12700</xdr:rowOff>
                  </to>
                </anchor>
              </controlPr>
            </control>
          </mc:Choice>
        </mc:AlternateContent>
        <mc:AlternateContent xmlns:mc="http://schemas.openxmlformats.org/markup-compatibility/2006">
          <mc:Choice Requires="x14">
            <control shapeId="18510" r:id="rId69" name="Check Box 78">
              <controlPr defaultSize="0" autoFill="0" autoLine="0" autoPict="0">
                <anchor moveWithCells="1">
                  <from>
                    <xdr:col>2</xdr:col>
                    <xdr:colOff>0</xdr:colOff>
                    <xdr:row>72</xdr:row>
                    <xdr:rowOff>107950</xdr:rowOff>
                  </from>
                  <to>
                    <xdr:col>2</xdr:col>
                    <xdr:colOff>203200</xdr:colOff>
                    <xdr:row>74</xdr:row>
                    <xdr:rowOff>12700</xdr:rowOff>
                  </to>
                </anchor>
              </controlPr>
            </control>
          </mc:Choice>
        </mc:AlternateContent>
        <mc:AlternateContent xmlns:mc="http://schemas.openxmlformats.org/markup-compatibility/2006">
          <mc:Choice Requires="x14">
            <control shapeId="18511" r:id="rId70" name="Check Box 79">
              <controlPr defaultSize="0" autoFill="0" autoLine="0" autoPict="0">
                <anchor moveWithCells="1">
                  <from>
                    <xdr:col>2</xdr:col>
                    <xdr:colOff>0</xdr:colOff>
                    <xdr:row>73</xdr:row>
                    <xdr:rowOff>107950</xdr:rowOff>
                  </from>
                  <to>
                    <xdr:col>2</xdr:col>
                    <xdr:colOff>203200</xdr:colOff>
                    <xdr:row>75</xdr:row>
                    <xdr:rowOff>12700</xdr:rowOff>
                  </to>
                </anchor>
              </controlPr>
            </control>
          </mc:Choice>
        </mc:AlternateContent>
        <mc:AlternateContent xmlns:mc="http://schemas.openxmlformats.org/markup-compatibility/2006">
          <mc:Choice Requires="x14">
            <control shapeId="18512" r:id="rId71" name="Check Box 80">
              <controlPr defaultSize="0" autoFill="0" autoLine="0" autoPict="0">
                <anchor moveWithCells="1">
                  <from>
                    <xdr:col>2</xdr:col>
                    <xdr:colOff>0</xdr:colOff>
                    <xdr:row>74</xdr:row>
                    <xdr:rowOff>107950</xdr:rowOff>
                  </from>
                  <to>
                    <xdr:col>2</xdr:col>
                    <xdr:colOff>203200</xdr:colOff>
                    <xdr:row>76</xdr:row>
                    <xdr:rowOff>12700</xdr:rowOff>
                  </to>
                </anchor>
              </controlPr>
            </control>
          </mc:Choice>
        </mc:AlternateContent>
        <mc:AlternateContent xmlns:mc="http://schemas.openxmlformats.org/markup-compatibility/2006">
          <mc:Choice Requires="x14">
            <control shapeId="18513" r:id="rId72" name="Check Box 81">
              <controlPr defaultSize="0" autoFill="0" autoLine="0" autoPict="0">
                <anchor moveWithCells="1">
                  <from>
                    <xdr:col>2</xdr:col>
                    <xdr:colOff>0</xdr:colOff>
                    <xdr:row>75</xdr:row>
                    <xdr:rowOff>107950</xdr:rowOff>
                  </from>
                  <to>
                    <xdr:col>2</xdr:col>
                    <xdr:colOff>203200</xdr:colOff>
                    <xdr:row>77</xdr:row>
                    <xdr:rowOff>12700</xdr:rowOff>
                  </to>
                </anchor>
              </controlPr>
            </control>
          </mc:Choice>
        </mc:AlternateContent>
        <mc:AlternateContent xmlns:mc="http://schemas.openxmlformats.org/markup-compatibility/2006">
          <mc:Choice Requires="x14">
            <control shapeId="18514" r:id="rId73" name="Check Box 82">
              <controlPr defaultSize="0" autoFill="0" autoLine="0" autoPict="0">
                <anchor moveWithCells="1">
                  <from>
                    <xdr:col>2</xdr:col>
                    <xdr:colOff>0</xdr:colOff>
                    <xdr:row>76</xdr:row>
                    <xdr:rowOff>107950</xdr:rowOff>
                  </from>
                  <to>
                    <xdr:col>2</xdr:col>
                    <xdr:colOff>203200</xdr:colOff>
                    <xdr:row>78</xdr:row>
                    <xdr:rowOff>12700</xdr:rowOff>
                  </to>
                </anchor>
              </controlPr>
            </control>
          </mc:Choice>
        </mc:AlternateContent>
        <mc:AlternateContent xmlns:mc="http://schemas.openxmlformats.org/markup-compatibility/2006">
          <mc:Choice Requires="x14">
            <control shapeId="18515" r:id="rId74" name="Check Box 83">
              <controlPr defaultSize="0" autoFill="0" autoLine="0" autoPict="0">
                <anchor moveWithCells="1">
                  <from>
                    <xdr:col>2</xdr:col>
                    <xdr:colOff>0</xdr:colOff>
                    <xdr:row>77</xdr:row>
                    <xdr:rowOff>107950</xdr:rowOff>
                  </from>
                  <to>
                    <xdr:col>2</xdr:col>
                    <xdr:colOff>203200</xdr:colOff>
                    <xdr:row>79</xdr:row>
                    <xdr:rowOff>12700</xdr:rowOff>
                  </to>
                </anchor>
              </controlPr>
            </control>
          </mc:Choice>
        </mc:AlternateContent>
        <mc:AlternateContent xmlns:mc="http://schemas.openxmlformats.org/markup-compatibility/2006">
          <mc:Choice Requires="x14">
            <control shapeId="18516" r:id="rId75" name="Check Box 84">
              <controlPr defaultSize="0" autoFill="0" autoLine="0" autoPict="0">
                <anchor moveWithCells="1">
                  <from>
                    <xdr:col>2</xdr:col>
                    <xdr:colOff>0</xdr:colOff>
                    <xdr:row>78</xdr:row>
                    <xdr:rowOff>107950</xdr:rowOff>
                  </from>
                  <to>
                    <xdr:col>2</xdr:col>
                    <xdr:colOff>203200</xdr:colOff>
                    <xdr:row>80</xdr:row>
                    <xdr:rowOff>12700</xdr:rowOff>
                  </to>
                </anchor>
              </controlPr>
            </control>
          </mc:Choice>
        </mc:AlternateContent>
        <mc:AlternateContent xmlns:mc="http://schemas.openxmlformats.org/markup-compatibility/2006">
          <mc:Choice Requires="x14">
            <control shapeId="18517" r:id="rId76" name="Check Box 85">
              <controlPr defaultSize="0" autoFill="0" autoLine="0" autoPict="0">
                <anchor moveWithCells="1">
                  <from>
                    <xdr:col>2</xdr:col>
                    <xdr:colOff>0</xdr:colOff>
                    <xdr:row>79</xdr:row>
                    <xdr:rowOff>107950</xdr:rowOff>
                  </from>
                  <to>
                    <xdr:col>2</xdr:col>
                    <xdr:colOff>203200</xdr:colOff>
                    <xdr:row>81</xdr:row>
                    <xdr:rowOff>12700</xdr:rowOff>
                  </to>
                </anchor>
              </controlPr>
            </control>
          </mc:Choice>
        </mc:AlternateContent>
        <mc:AlternateContent xmlns:mc="http://schemas.openxmlformats.org/markup-compatibility/2006">
          <mc:Choice Requires="x14">
            <control shapeId="18518" r:id="rId77" name="Check Box 86">
              <controlPr defaultSize="0" autoFill="0" autoLine="0" autoPict="0">
                <anchor moveWithCells="1">
                  <from>
                    <xdr:col>2</xdr:col>
                    <xdr:colOff>0</xdr:colOff>
                    <xdr:row>80</xdr:row>
                    <xdr:rowOff>107950</xdr:rowOff>
                  </from>
                  <to>
                    <xdr:col>2</xdr:col>
                    <xdr:colOff>203200</xdr:colOff>
                    <xdr:row>82</xdr:row>
                    <xdr:rowOff>12700</xdr:rowOff>
                  </to>
                </anchor>
              </controlPr>
            </control>
          </mc:Choice>
        </mc:AlternateContent>
        <mc:AlternateContent xmlns:mc="http://schemas.openxmlformats.org/markup-compatibility/2006">
          <mc:Choice Requires="x14">
            <control shapeId="18519" r:id="rId78" name="Check Box 87">
              <controlPr defaultSize="0" autoFill="0" autoLine="0" autoPict="0">
                <anchor moveWithCells="1">
                  <from>
                    <xdr:col>2</xdr:col>
                    <xdr:colOff>0</xdr:colOff>
                    <xdr:row>81</xdr:row>
                    <xdr:rowOff>107950</xdr:rowOff>
                  </from>
                  <to>
                    <xdr:col>2</xdr:col>
                    <xdr:colOff>203200</xdr:colOff>
                    <xdr:row>83</xdr:row>
                    <xdr:rowOff>12700</xdr:rowOff>
                  </to>
                </anchor>
              </controlPr>
            </control>
          </mc:Choice>
        </mc:AlternateContent>
        <mc:AlternateContent xmlns:mc="http://schemas.openxmlformats.org/markup-compatibility/2006">
          <mc:Choice Requires="x14">
            <control shapeId="18520" r:id="rId79" name="Check Box 88">
              <controlPr defaultSize="0" autoFill="0" autoLine="0" autoPict="0">
                <anchor moveWithCells="1">
                  <from>
                    <xdr:col>2</xdr:col>
                    <xdr:colOff>0</xdr:colOff>
                    <xdr:row>82</xdr:row>
                    <xdr:rowOff>107950</xdr:rowOff>
                  </from>
                  <to>
                    <xdr:col>2</xdr:col>
                    <xdr:colOff>203200</xdr:colOff>
                    <xdr:row>84</xdr:row>
                    <xdr:rowOff>12700</xdr:rowOff>
                  </to>
                </anchor>
              </controlPr>
            </control>
          </mc:Choice>
        </mc:AlternateContent>
        <mc:AlternateContent xmlns:mc="http://schemas.openxmlformats.org/markup-compatibility/2006">
          <mc:Choice Requires="x14">
            <control shapeId="18521" r:id="rId80" name="Check Box 89">
              <controlPr defaultSize="0" autoFill="0" autoLine="0" autoPict="0">
                <anchor moveWithCells="1">
                  <from>
                    <xdr:col>2</xdr:col>
                    <xdr:colOff>0</xdr:colOff>
                    <xdr:row>83</xdr:row>
                    <xdr:rowOff>107950</xdr:rowOff>
                  </from>
                  <to>
                    <xdr:col>2</xdr:col>
                    <xdr:colOff>203200</xdr:colOff>
                    <xdr:row>85</xdr:row>
                    <xdr:rowOff>12700</xdr:rowOff>
                  </to>
                </anchor>
              </controlPr>
            </control>
          </mc:Choice>
        </mc:AlternateContent>
        <mc:AlternateContent xmlns:mc="http://schemas.openxmlformats.org/markup-compatibility/2006">
          <mc:Choice Requires="x14">
            <control shapeId="18522" r:id="rId81" name="Check Box 90">
              <controlPr defaultSize="0" autoFill="0" autoLine="0" autoPict="0">
                <anchor moveWithCells="1">
                  <from>
                    <xdr:col>2</xdr:col>
                    <xdr:colOff>0</xdr:colOff>
                    <xdr:row>84</xdr:row>
                    <xdr:rowOff>107950</xdr:rowOff>
                  </from>
                  <to>
                    <xdr:col>2</xdr:col>
                    <xdr:colOff>203200</xdr:colOff>
                    <xdr:row>86</xdr:row>
                    <xdr:rowOff>12700</xdr:rowOff>
                  </to>
                </anchor>
              </controlPr>
            </control>
          </mc:Choice>
        </mc:AlternateContent>
        <mc:AlternateContent xmlns:mc="http://schemas.openxmlformats.org/markup-compatibility/2006">
          <mc:Choice Requires="x14">
            <control shapeId="18523" r:id="rId82" name="Check Box 91">
              <controlPr defaultSize="0" autoFill="0" autoLine="0" autoPict="0">
                <anchor moveWithCells="1">
                  <from>
                    <xdr:col>2</xdr:col>
                    <xdr:colOff>0</xdr:colOff>
                    <xdr:row>85</xdr:row>
                    <xdr:rowOff>107950</xdr:rowOff>
                  </from>
                  <to>
                    <xdr:col>2</xdr:col>
                    <xdr:colOff>203200</xdr:colOff>
                    <xdr:row>87</xdr:row>
                    <xdr:rowOff>12700</xdr:rowOff>
                  </to>
                </anchor>
              </controlPr>
            </control>
          </mc:Choice>
        </mc:AlternateContent>
        <mc:AlternateContent xmlns:mc="http://schemas.openxmlformats.org/markup-compatibility/2006">
          <mc:Choice Requires="x14">
            <control shapeId="18524" r:id="rId83" name="Check Box 92">
              <controlPr defaultSize="0" autoFill="0" autoLine="0" autoPict="0">
                <anchor moveWithCells="1">
                  <from>
                    <xdr:col>2</xdr:col>
                    <xdr:colOff>0</xdr:colOff>
                    <xdr:row>86</xdr:row>
                    <xdr:rowOff>107950</xdr:rowOff>
                  </from>
                  <to>
                    <xdr:col>2</xdr:col>
                    <xdr:colOff>203200</xdr:colOff>
                    <xdr:row>88</xdr:row>
                    <xdr:rowOff>12700</xdr:rowOff>
                  </to>
                </anchor>
              </controlPr>
            </control>
          </mc:Choice>
        </mc:AlternateContent>
        <mc:AlternateContent xmlns:mc="http://schemas.openxmlformats.org/markup-compatibility/2006">
          <mc:Choice Requires="x14">
            <control shapeId="18525" r:id="rId84" name="Check Box 93">
              <controlPr defaultSize="0" autoFill="0" autoLine="0" autoPict="0">
                <anchor moveWithCells="1">
                  <from>
                    <xdr:col>2</xdr:col>
                    <xdr:colOff>0</xdr:colOff>
                    <xdr:row>87</xdr:row>
                    <xdr:rowOff>107950</xdr:rowOff>
                  </from>
                  <to>
                    <xdr:col>2</xdr:col>
                    <xdr:colOff>203200</xdr:colOff>
                    <xdr:row>89</xdr:row>
                    <xdr:rowOff>12700</xdr:rowOff>
                  </to>
                </anchor>
              </controlPr>
            </control>
          </mc:Choice>
        </mc:AlternateContent>
        <mc:AlternateContent xmlns:mc="http://schemas.openxmlformats.org/markup-compatibility/2006">
          <mc:Choice Requires="x14">
            <control shapeId="18526" r:id="rId85" name="Check Box 94">
              <controlPr defaultSize="0" autoFill="0" autoLine="0" autoPict="0">
                <anchor moveWithCells="1">
                  <from>
                    <xdr:col>2</xdr:col>
                    <xdr:colOff>0</xdr:colOff>
                    <xdr:row>88</xdr:row>
                    <xdr:rowOff>107950</xdr:rowOff>
                  </from>
                  <to>
                    <xdr:col>2</xdr:col>
                    <xdr:colOff>203200</xdr:colOff>
                    <xdr:row>90</xdr:row>
                    <xdr:rowOff>12700</xdr:rowOff>
                  </to>
                </anchor>
              </controlPr>
            </control>
          </mc:Choice>
        </mc:AlternateContent>
        <mc:AlternateContent xmlns:mc="http://schemas.openxmlformats.org/markup-compatibility/2006">
          <mc:Choice Requires="x14">
            <control shapeId="18527" r:id="rId86" name="Check Box 95">
              <controlPr defaultSize="0" autoFill="0" autoLine="0" autoPict="0">
                <anchor moveWithCells="1">
                  <from>
                    <xdr:col>2</xdr:col>
                    <xdr:colOff>0</xdr:colOff>
                    <xdr:row>89</xdr:row>
                    <xdr:rowOff>107950</xdr:rowOff>
                  </from>
                  <to>
                    <xdr:col>2</xdr:col>
                    <xdr:colOff>203200</xdr:colOff>
                    <xdr:row>91</xdr:row>
                    <xdr:rowOff>12700</xdr:rowOff>
                  </to>
                </anchor>
              </controlPr>
            </control>
          </mc:Choice>
        </mc:AlternateContent>
        <mc:AlternateContent xmlns:mc="http://schemas.openxmlformats.org/markup-compatibility/2006">
          <mc:Choice Requires="x14">
            <control shapeId="18528" r:id="rId87" name="Check Box 96">
              <controlPr defaultSize="0" autoFill="0" autoLine="0" autoPict="0">
                <anchor moveWithCells="1">
                  <from>
                    <xdr:col>2</xdr:col>
                    <xdr:colOff>0</xdr:colOff>
                    <xdr:row>90</xdr:row>
                    <xdr:rowOff>107950</xdr:rowOff>
                  </from>
                  <to>
                    <xdr:col>2</xdr:col>
                    <xdr:colOff>203200</xdr:colOff>
                    <xdr:row>92</xdr:row>
                    <xdr:rowOff>12700</xdr:rowOff>
                  </to>
                </anchor>
              </controlPr>
            </control>
          </mc:Choice>
        </mc:AlternateContent>
        <mc:AlternateContent xmlns:mc="http://schemas.openxmlformats.org/markup-compatibility/2006">
          <mc:Choice Requires="x14">
            <control shapeId="18529" r:id="rId88" name="Check Box 97">
              <controlPr defaultSize="0" autoFill="0" autoLine="0" autoPict="0">
                <anchor moveWithCells="1">
                  <from>
                    <xdr:col>2</xdr:col>
                    <xdr:colOff>0</xdr:colOff>
                    <xdr:row>91</xdr:row>
                    <xdr:rowOff>107950</xdr:rowOff>
                  </from>
                  <to>
                    <xdr:col>2</xdr:col>
                    <xdr:colOff>203200</xdr:colOff>
                    <xdr:row>93</xdr:row>
                    <xdr:rowOff>12700</xdr:rowOff>
                  </to>
                </anchor>
              </controlPr>
            </control>
          </mc:Choice>
        </mc:AlternateContent>
        <mc:AlternateContent xmlns:mc="http://schemas.openxmlformats.org/markup-compatibility/2006">
          <mc:Choice Requires="x14">
            <control shapeId="18530" r:id="rId89" name="Check Box 98">
              <controlPr defaultSize="0" autoFill="0" autoLine="0" autoPict="0">
                <anchor moveWithCells="1">
                  <from>
                    <xdr:col>2</xdr:col>
                    <xdr:colOff>0</xdr:colOff>
                    <xdr:row>92</xdr:row>
                    <xdr:rowOff>107950</xdr:rowOff>
                  </from>
                  <to>
                    <xdr:col>2</xdr:col>
                    <xdr:colOff>203200</xdr:colOff>
                    <xdr:row>94</xdr:row>
                    <xdr:rowOff>12700</xdr:rowOff>
                  </to>
                </anchor>
              </controlPr>
            </control>
          </mc:Choice>
        </mc:AlternateContent>
        <mc:AlternateContent xmlns:mc="http://schemas.openxmlformats.org/markup-compatibility/2006">
          <mc:Choice Requires="x14">
            <control shapeId="18531" r:id="rId90" name="Check Box 99">
              <controlPr defaultSize="0" autoFill="0" autoLine="0" autoPict="0">
                <anchor moveWithCells="1">
                  <from>
                    <xdr:col>2</xdr:col>
                    <xdr:colOff>0</xdr:colOff>
                    <xdr:row>93</xdr:row>
                    <xdr:rowOff>107950</xdr:rowOff>
                  </from>
                  <to>
                    <xdr:col>2</xdr:col>
                    <xdr:colOff>203200</xdr:colOff>
                    <xdr:row>95</xdr:row>
                    <xdr:rowOff>12700</xdr:rowOff>
                  </to>
                </anchor>
              </controlPr>
            </control>
          </mc:Choice>
        </mc:AlternateContent>
        <mc:AlternateContent xmlns:mc="http://schemas.openxmlformats.org/markup-compatibility/2006">
          <mc:Choice Requires="x14">
            <control shapeId="18532" r:id="rId91" name="Check Box 100">
              <controlPr defaultSize="0" autoFill="0" autoLine="0" autoPict="0">
                <anchor moveWithCells="1">
                  <from>
                    <xdr:col>2</xdr:col>
                    <xdr:colOff>0</xdr:colOff>
                    <xdr:row>94</xdr:row>
                    <xdr:rowOff>107950</xdr:rowOff>
                  </from>
                  <to>
                    <xdr:col>2</xdr:col>
                    <xdr:colOff>203200</xdr:colOff>
                    <xdr:row>96</xdr:row>
                    <xdr:rowOff>12700</xdr:rowOff>
                  </to>
                </anchor>
              </controlPr>
            </control>
          </mc:Choice>
        </mc:AlternateContent>
        <mc:AlternateContent xmlns:mc="http://schemas.openxmlformats.org/markup-compatibility/2006">
          <mc:Choice Requires="x14">
            <control shapeId="18533" r:id="rId92" name="Check Box 101">
              <controlPr defaultSize="0" autoFill="0" autoLine="0" autoPict="0">
                <anchor moveWithCells="1">
                  <from>
                    <xdr:col>2</xdr:col>
                    <xdr:colOff>0</xdr:colOff>
                    <xdr:row>95</xdr:row>
                    <xdr:rowOff>107950</xdr:rowOff>
                  </from>
                  <to>
                    <xdr:col>2</xdr:col>
                    <xdr:colOff>203200</xdr:colOff>
                    <xdr:row>97</xdr:row>
                    <xdr:rowOff>12700</xdr:rowOff>
                  </to>
                </anchor>
              </controlPr>
            </control>
          </mc:Choice>
        </mc:AlternateContent>
        <mc:AlternateContent xmlns:mc="http://schemas.openxmlformats.org/markup-compatibility/2006">
          <mc:Choice Requires="x14">
            <control shapeId="18534" r:id="rId93" name="Check Box 102">
              <controlPr defaultSize="0" autoFill="0" autoLine="0" autoPict="0">
                <anchor moveWithCells="1">
                  <from>
                    <xdr:col>2</xdr:col>
                    <xdr:colOff>0</xdr:colOff>
                    <xdr:row>96</xdr:row>
                    <xdr:rowOff>107950</xdr:rowOff>
                  </from>
                  <to>
                    <xdr:col>2</xdr:col>
                    <xdr:colOff>203200</xdr:colOff>
                    <xdr:row>98</xdr:row>
                    <xdr:rowOff>12700</xdr:rowOff>
                  </to>
                </anchor>
              </controlPr>
            </control>
          </mc:Choice>
        </mc:AlternateContent>
        <mc:AlternateContent xmlns:mc="http://schemas.openxmlformats.org/markup-compatibility/2006">
          <mc:Choice Requires="x14">
            <control shapeId="18535" r:id="rId94" name="Check Box 103">
              <controlPr defaultSize="0" autoFill="0" autoLine="0" autoPict="0">
                <anchor moveWithCells="1">
                  <from>
                    <xdr:col>2</xdr:col>
                    <xdr:colOff>0</xdr:colOff>
                    <xdr:row>97</xdr:row>
                    <xdr:rowOff>107950</xdr:rowOff>
                  </from>
                  <to>
                    <xdr:col>2</xdr:col>
                    <xdr:colOff>203200</xdr:colOff>
                    <xdr:row>99</xdr:row>
                    <xdr:rowOff>12700</xdr:rowOff>
                  </to>
                </anchor>
              </controlPr>
            </control>
          </mc:Choice>
        </mc:AlternateContent>
        <mc:AlternateContent xmlns:mc="http://schemas.openxmlformats.org/markup-compatibility/2006">
          <mc:Choice Requires="x14">
            <control shapeId="18536" r:id="rId95" name="Check Box 104">
              <controlPr defaultSize="0" autoFill="0" autoLine="0" autoPict="0">
                <anchor moveWithCells="1">
                  <from>
                    <xdr:col>2</xdr:col>
                    <xdr:colOff>0</xdr:colOff>
                    <xdr:row>98</xdr:row>
                    <xdr:rowOff>107950</xdr:rowOff>
                  </from>
                  <to>
                    <xdr:col>2</xdr:col>
                    <xdr:colOff>203200</xdr:colOff>
                    <xdr:row>100</xdr:row>
                    <xdr:rowOff>12700</xdr:rowOff>
                  </to>
                </anchor>
              </controlPr>
            </control>
          </mc:Choice>
        </mc:AlternateContent>
        <mc:AlternateContent xmlns:mc="http://schemas.openxmlformats.org/markup-compatibility/2006">
          <mc:Choice Requires="x14">
            <control shapeId="18537" r:id="rId96" name="Check Box 105">
              <controlPr defaultSize="0" autoFill="0" autoLine="0" autoPict="0">
                <anchor moveWithCells="1">
                  <from>
                    <xdr:col>2</xdr:col>
                    <xdr:colOff>0</xdr:colOff>
                    <xdr:row>99</xdr:row>
                    <xdr:rowOff>107950</xdr:rowOff>
                  </from>
                  <to>
                    <xdr:col>2</xdr:col>
                    <xdr:colOff>203200</xdr:colOff>
                    <xdr:row>101</xdr:row>
                    <xdr:rowOff>12700</xdr:rowOff>
                  </to>
                </anchor>
              </controlPr>
            </control>
          </mc:Choice>
        </mc:AlternateContent>
        <mc:AlternateContent xmlns:mc="http://schemas.openxmlformats.org/markup-compatibility/2006">
          <mc:Choice Requires="x14">
            <control shapeId="18538" r:id="rId97" name="Check Box 106">
              <controlPr defaultSize="0" autoFill="0" autoLine="0" autoPict="0">
                <anchor moveWithCells="1">
                  <from>
                    <xdr:col>2</xdr:col>
                    <xdr:colOff>0</xdr:colOff>
                    <xdr:row>100</xdr:row>
                    <xdr:rowOff>107950</xdr:rowOff>
                  </from>
                  <to>
                    <xdr:col>2</xdr:col>
                    <xdr:colOff>203200</xdr:colOff>
                    <xdr:row>102</xdr:row>
                    <xdr:rowOff>12700</xdr:rowOff>
                  </to>
                </anchor>
              </controlPr>
            </control>
          </mc:Choice>
        </mc:AlternateContent>
        <mc:AlternateContent xmlns:mc="http://schemas.openxmlformats.org/markup-compatibility/2006">
          <mc:Choice Requires="x14">
            <control shapeId="18539" r:id="rId98" name="Check Box 107">
              <controlPr defaultSize="0" autoFill="0" autoLine="0" autoPict="0">
                <anchor moveWithCells="1">
                  <from>
                    <xdr:col>2</xdr:col>
                    <xdr:colOff>0</xdr:colOff>
                    <xdr:row>101</xdr:row>
                    <xdr:rowOff>107950</xdr:rowOff>
                  </from>
                  <to>
                    <xdr:col>2</xdr:col>
                    <xdr:colOff>203200</xdr:colOff>
                    <xdr:row>103</xdr:row>
                    <xdr:rowOff>12700</xdr:rowOff>
                  </to>
                </anchor>
              </controlPr>
            </control>
          </mc:Choice>
        </mc:AlternateContent>
        <mc:AlternateContent xmlns:mc="http://schemas.openxmlformats.org/markup-compatibility/2006">
          <mc:Choice Requires="x14">
            <control shapeId="18540" r:id="rId99" name="Check Box 108">
              <controlPr defaultSize="0" autoFill="0" autoLine="0" autoPict="0">
                <anchor moveWithCells="1">
                  <from>
                    <xdr:col>2</xdr:col>
                    <xdr:colOff>0</xdr:colOff>
                    <xdr:row>102</xdr:row>
                    <xdr:rowOff>107950</xdr:rowOff>
                  </from>
                  <to>
                    <xdr:col>2</xdr:col>
                    <xdr:colOff>203200</xdr:colOff>
                    <xdr:row>104</xdr:row>
                    <xdr:rowOff>12700</xdr:rowOff>
                  </to>
                </anchor>
              </controlPr>
            </control>
          </mc:Choice>
        </mc:AlternateContent>
        <mc:AlternateContent xmlns:mc="http://schemas.openxmlformats.org/markup-compatibility/2006">
          <mc:Choice Requires="x14">
            <control shapeId="18541" r:id="rId100" name="Check Box 109">
              <controlPr defaultSize="0" autoFill="0" autoLine="0" autoPict="0">
                <anchor moveWithCells="1">
                  <from>
                    <xdr:col>2</xdr:col>
                    <xdr:colOff>0</xdr:colOff>
                    <xdr:row>103</xdr:row>
                    <xdr:rowOff>107950</xdr:rowOff>
                  </from>
                  <to>
                    <xdr:col>2</xdr:col>
                    <xdr:colOff>203200</xdr:colOff>
                    <xdr:row>105</xdr:row>
                    <xdr:rowOff>12700</xdr:rowOff>
                  </to>
                </anchor>
              </controlPr>
            </control>
          </mc:Choice>
        </mc:AlternateContent>
        <mc:AlternateContent xmlns:mc="http://schemas.openxmlformats.org/markup-compatibility/2006">
          <mc:Choice Requires="x14">
            <control shapeId="18542" r:id="rId101" name="Check Box 110">
              <controlPr defaultSize="0" autoFill="0" autoLine="0" autoPict="0">
                <anchor moveWithCells="1">
                  <from>
                    <xdr:col>2</xdr:col>
                    <xdr:colOff>0</xdr:colOff>
                    <xdr:row>104</xdr:row>
                    <xdr:rowOff>107950</xdr:rowOff>
                  </from>
                  <to>
                    <xdr:col>2</xdr:col>
                    <xdr:colOff>203200</xdr:colOff>
                    <xdr:row>106</xdr:row>
                    <xdr:rowOff>12700</xdr:rowOff>
                  </to>
                </anchor>
              </controlPr>
            </control>
          </mc:Choice>
        </mc:AlternateContent>
        <mc:AlternateContent xmlns:mc="http://schemas.openxmlformats.org/markup-compatibility/2006">
          <mc:Choice Requires="x14">
            <control shapeId="18543" r:id="rId102" name="Check Box 111">
              <controlPr defaultSize="0" autoFill="0" autoLine="0" autoPict="0">
                <anchor moveWithCells="1">
                  <from>
                    <xdr:col>2</xdr:col>
                    <xdr:colOff>0</xdr:colOff>
                    <xdr:row>105</xdr:row>
                    <xdr:rowOff>107950</xdr:rowOff>
                  </from>
                  <to>
                    <xdr:col>2</xdr:col>
                    <xdr:colOff>203200</xdr:colOff>
                    <xdr:row>107</xdr:row>
                    <xdr:rowOff>12700</xdr:rowOff>
                  </to>
                </anchor>
              </controlPr>
            </control>
          </mc:Choice>
        </mc:AlternateContent>
        <mc:AlternateContent xmlns:mc="http://schemas.openxmlformats.org/markup-compatibility/2006">
          <mc:Choice Requires="x14">
            <control shapeId="18544" r:id="rId103" name="Check Box 112">
              <controlPr defaultSize="0" autoFill="0" autoLine="0" autoPict="0">
                <anchor moveWithCells="1">
                  <from>
                    <xdr:col>2</xdr:col>
                    <xdr:colOff>0</xdr:colOff>
                    <xdr:row>5</xdr:row>
                    <xdr:rowOff>107950</xdr:rowOff>
                  </from>
                  <to>
                    <xdr:col>2</xdr:col>
                    <xdr:colOff>203200</xdr:colOff>
                    <xdr:row>7</xdr:row>
                    <xdr:rowOff>12700</xdr:rowOff>
                  </to>
                </anchor>
              </controlPr>
            </control>
          </mc:Choice>
        </mc:AlternateContent>
        <mc:AlternateContent xmlns:mc="http://schemas.openxmlformats.org/markup-compatibility/2006">
          <mc:Choice Requires="x14">
            <control shapeId="18545" r:id="rId104" name="Check Box 113">
              <controlPr defaultSize="0" autoFill="0" autoLine="0" autoPict="0">
                <anchor moveWithCells="1">
                  <from>
                    <xdr:col>2</xdr:col>
                    <xdr:colOff>0</xdr:colOff>
                    <xdr:row>7</xdr:row>
                    <xdr:rowOff>107950</xdr:rowOff>
                  </from>
                  <to>
                    <xdr:col>2</xdr:col>
                    <xdr:colOff>203200</xdr:colOff>
                    <xdr:row>9</xdr:row>
                    <xdr:rowOff>12700</xdr:rowOff>
                  </to>
                </anchor>
              </controlPr>
            </control>
          </mc:Choice>
        </mc:AlternateContent>
        <mc:AlternateContent xmlns:mc="http://schemas.openxmlformats.org/markup-compatibility/2006">
          <mc:Choice Requires="x14">
            <control shapeId="18552" r:id="rId105" name="Check Box 120">
              <controlPr defaultSize="0" autoFill="0" autoLine="0" autoPict="0">
                <anchor moveWithCells="1">
                  <from>
                    <xdr:col>7</xdr:col>
                    <xdr:colOff>0</xdr:colOff>
                    <xdr:row>5</xdr:row>
                    <xdr:rowOff>107950</xdr:rowOff>
                  </from>
                  <to>
                    <xdr:col>7</xdr:col>
                    <xdr:colOff>203200</xdr:colOff>
                    <xdr:row>7</xdr:row>
                    <xdr:rowOff>12700</xdr:rowOff>
                  </to>
                </anchor>
              </controlPr>
            </control>
          </mc:Choice>
        </mc:AlternateContent>
        <mc:AlternateContent xmlns:mc="http://schemas.openxmlformats.org/markup-compatibility/2006">
          <mc:Choice Requires="x14">
            <control shapeId="18598" r:id="rId106" name="Check Box 166">
              <controlPr defaultSize="0" autoFill="0" autoLine="0" autoPict="0">
                <anchor moveWithCells="1">
                  <from>
                    <xdr:col>7</xdr:col>
                    <xdr:colOff>0</xdr:colOff>
                    <xdr:row>6</xdr:row>
                    <xdr:rowOff>107950</xdr:rowOff>
                  </from>
                  <to>
                    <xdr:col>7</xdr:col>
                    <xdr:colOff>203200</xdr:colOff>
                    <xdr:row>8</xdr:row>
                    <xdr:rowOff>12700</xdr:rowOff>
                  </to>
                </anchor>
              </controlPr>
            </control>
          </mc:Choice>
        </mc:AlternateContent>
        <mc:AlternateContent xmlns:mc="http://schemas.openxmlformats.org/markup-compatibility/2006">
          <mc:Choice Requires="x14">
            <control shapeId="18599" r:id="rId107" name="Check Box 167">
              <controlPr defaultSize="0" autoFill="0" autoLine="0" autoPict="0">
                <anchor moveWithCells="1">
                  <from>
                    <xdr:col>7</xdr:col>
                    <xdr:colOff>0</xdr:colOff>
                    <xdr:row>7</xdr:row>
                    <xdr:rowOff>107950</xdr:rowOff>
                  </from>
                  <to>
                    <xdr:col>7</xdr:col>
                    <xdr:colOff>203200</xdr:colOff>
                    <xdr:row>9</xdr:row>
                    <xdr:rowOff>12700</xdr:rowOff>
                  </to>
                </anchor>
              </controlPr>
            </control>
          </mc:Choice>
        </mc:AlternateContent>
        <mc:AlternateContent xmlns:mc="http://schemas.openxmlformats.org/markup-compatibility/2006">
          <mc:Choice Requires="x14">
            <control shapeId="18600" r:id="rId108" name="Check Box 168">
              <controlPr defaultSize="0" autoFill="0" autoLine="0" autoPict="0">
                <anchor moveWithCells="1">
                  <from>
                    <xdr:col>7</xdr:col>
                    <xdr:colOff>0</xdr:colOff>
                    <xdr:row>8</xdr:row>
                    <xdr:rowOff>107950</xdr:rowOff>
                  </from>
                  <to>
                    <xdr:col>7</xdr:col>
                    <xdr:colOff>203200</xdr:colOff>
                    <xdr:row>10</xdr:row>
                    <xdr:rowOff>12700</xdr:rowOff>
                  </to>
                </anchor>
              </controlPr>
            </control>
          </mc:Choice>
        </mc:AlternateContent>
        <mc:AlternateContent xmlns:mc="http://schemas.openxmlformats.org/markup-compatibility/2006">
          <mc:Choice Requires="x14">
            <control shapeId="18601" r:id="rId109" name="Check Box 169">
              <controlPr defaultSize="0" autoFill="0" autoLine="0" autoPict="0">
                <anchor moveWithCells="1">
                  <from>
                    <xdr:col>7</xdr:col>
                    <xdr:colOff>0</xdr:colOff>
                    <xdr:row>9</xdr:row>
                    <xdr:rowOff>107950</xdr:rowOff>
                  </from>
                  <to>
                    <xdr:col>7</xdr:col>
                    <xdr:colOff>203200</xdr:colOff>
                    <xdr:row>11</xdr:row>
                    <xdr:rowOff>12700</xdr:rowOff>
                  </to>
                </anchor>
              </controlPr>
            </control>
          </mc:Choice>
        </mc:AlternateContent>
        <mc:AlternateContent xmlns:mc="http://schemas.openxmlformats.org/markup-compatibility/2006">
          <mc:Choice Requires="x14">
            <control shapeId="18602" r:id="rId110" name="Check Box 170">
              <controlPr defaultSize="0" autoFill="0" autoLine="0" autoPict="0">
                <anchor moveWithCells="1">
                  <from>
                    <xdr:col>7</xdr:col>
                    <xdr:colOff>0</xdr:colOff>
                    <xdr:row>10</xdr:row>
                    <xdr:rowOff>107950</xdr:rowOff>
                  </from>
                  <to>
                    <xdr:col>7</xdr:col>
                    <xdr:colOff>203200</xdr:colOff>
                    <xdr:row>12</xdr:row>
                    <xdr:rowOff>12700</xdr:rowOff>
                  </to>
                </anchor>
              </controlPr>
            </control>
          </mc:Choice>
        </mc:AlternateContent>
        <mc:AlternateContent xmlns:mc="http://schemas.openxmlformats.org/markup-compatibility/2006">
          <mc:Choice Requires="x14">
            <control shapeId="18603" r:id="rId111" name="Check Box 171">
              <controlPr defaultSize="0" autoFill="0" autoLine="0" autoPict="0">
                <anchor moveWithCells="1">
                  <from>
                    <xdr:col>7</xdr:col>
                    <xdr:colOff>0</xdr:colOff>
                    <xdr:row>11</xdr:row>
                    <xdr:rowOff>107950</xdr:rowOff>
                  </from>
                  <to>
                    <xdr:col>7</xdr:col>
                    <xdr:colOff>203200</xdr:colOff>
                    <xdr:row>13</xdr:row>
                    <xdr:rowOff>12700</xdr:rowOff>
                  </to>
                </anchor>
              </controlPr>
            </control>
          </mc:Choice>
        </mc:AlternateContent>
        <mc:AlternateContent xmlns:mc="http://schemas.openxmlformats.org/markup-compatibility/2006">
          <mc:Choice Requires="x14">
            <control shapeId="18604" r:id="rId112" name="Check Box 172">
              <controlPr defaultSize="0" autoFill="0" autoLine="0" autoPict="0">
                <anchor moveWithCells="1">
                  <from>
                    <xdr:col>7</xdr:col>
                    <xdr:colOff>0</xdr:colOff>
                    <xdr:row>12</xdr:row>
                    <xdr:rowOff>107950</xdr:rowOff>
                  </from>
                  <to>
                    <xdr:col>7</xdr:col>
                    <xdr:colOff>203200</xdr:colOff>
                    <xdr:row>14</xdr:row>
                    <xdr:rowOff>12700</xdr:rowOff>
                  </to>
                </anchor>
              </controlPr>
            </control>
          </mc:Choice>
        </mc:AlternateContent>
        <mc:AlternateContent xmlns:mc="http://schemas.openxmlformats.org/markup-compatibility/2006">
          <mc:Choice Requires="x14">
            <control shapeId="18605" r:id="rId113" name="Check Box 173">
              <controlPr defaultSize="0" autoFill="0" autoLine="0" autoPict="0">
                <anchor moveWithCells="1">
                  <from>
                    <xdr:col>7</xdr:col>
                    <xdr:colOff>0</xdr:colOff>
                    <xdr:row>13</xdr:row>
                    <xdr:rowOff>107950</xdr:rowOff>
                  </from>
                  <to>
                    <xdr:col>7</xdr:col>
                    <xdr:colOff>203200</xdr:colOff>
                    <xdr:row>15</xdr:row>
                    <xdr:rowOff>12700</xdr:rowOff>
                  </to>
                </anchor>
              </controlPr>
            </control>
          </mc:Choice>
        </mc:AlternateContent>
        <mc:AlternateContent xmlns:mc="http://schemas.openxmlformats.org/markup-compatibility/2006">
          <mc:Choice Requires="x14">
            <control shapeId="18606" r:id="rId114" name="Check Box 174">
              <controlPr defaultSize="0" autoFill="0" autoLine="0" autoPict="0">
                <anchor moveWithCells="1">
                  <from>
                    <xdr:col>7</xdr:col>
                    <xdr:colOff>0</xdr:colOff>
                    <xdr:row>14</xdr:row>
                    <xdr:rowOff>107950</xdr:rowOff>
                  </from>
                  <to>
                    <xdr:col>7</xdr:col>
                    <xdr:colOff>203200</xdr:colOff>
                    <xdr:row>16</xdr:row>
                    <xdr:rowOff>12700</xdr:rowOff>
                  </to>
                </anchor>
              </controlPr>
            </control>
          </mc:Choice>
        </mc:AlternateContent>
        <mc:AlternateContent xmlns:mc="http://schemas.openxmlformats.org/markup-compatibility/2006">
          <mc:Choice Requires="x14">
            <control shapeId="18607" r:id="rId115" name="Check Box 175">
              <controlPr defaultSize="0" autoFill="0" autoLine="0" autoPict="0">
                <anchor moveWithCells="1">
                  <from>
                    <xdr:col>7</xdr:col>
                    <xdr:colOff>0</xdr:colOff>
                    <xdr:row>15</xdr:row>
                    <xdr:rowOff>107950</xdr:rowOff>
                  </from>
                  <to>
                    <xdr:col>7</xdr:col>
                    <xdr:colOff>203200</xdr:colOff>
                    <xdr:row>17</xdr:row>
                    <xdr:rowOff>12700</xdr:rowOff>
                  </to>
                </anchor>
              </controlPr>
            </control>
          </mc:Choice>
        </mc:AlternateContent>
        <mc:AlternateContent xmlns:mc="http://schemas.openxmlformats.org/markup-compatibility/2006">
          <mc:Choice Requires="x14">
            <control shapeId="18608" r:id="rId116" name="Check Box 176">
              <controlPr defaultSize="0" autoFill="0" autoLine="0" autoPict="0">
                <anchor moveWithCells="1">
                  <from>
                    <xdr:col>7</xdr:col>
                    <xdr:colOff>0</xdr:colOff>
                    <xdr:row>16</xdr:row>
                    <xdr:rowOff>107950</xdr:rowOff>
                  </from>
                  <to>
                    <xdr:col>7</xdr:col>
                    <xdr:colOff>203200</xdr:colOff>
                    <xdr:row>18</xdr:row>
                    <xdr:rowOff>12700</xdr:rowOff>
                  </to>
                </anchor>
              </controlPr>
            </control>
          </mc:Choice>
        </mc:AlternateContent>
        <mc:AlternateContent xmlns:mc="http://schemas.openxmlformats.org/markup-compatibility/2006">
          <mc:Choice Requires="x14">
            <control shapeId="18609" r:id="rId117" name="Check Box 177">
              <controlPr defaultSize="0" autoFill="0" autoLine="0" autoPict="0">
                <anchor moveWithCells="1">
                  <from>
                    <xdr:col>7</xdr:col>
                    <xdr:colOff>0</xdr:colOff>
                    <xdr:row>17</xdr:row>
                    <xdr:rowOff>107950</xdr:rowOff>
                  </from>
                  <to>
                    <xdr:col>7</xdr:col>
                    <xdr:colOff>203200</xdr:colOff>
                    <xdr:row>19</xdr:row>
                    <xdr:rowOff>12700</xdr:rowOff>
                  </to>
                </anchor>
              </controlPr>
            </control>
          </mc:Choice>
        </mc:AlternateContent>
        <mc:AlternateContent xmlns:mc="http://schemas.openxmlformats.org/markup-compatibility/2006">
          <mc:Choice Requires="x14">
            <control shapeId="18610" r:id="rId118" name="Check Box 178">
              <controlPr defaultSize="0" autoFill="0" autoLine="0" autoPict="0">
                <anchor moveWithCells="1">
                  <from>
                    <xdr:col>7</xdr:col>
                    <xdr:colOff>0</xdr:colOff>
                    <xdr:row>18</xdr:row>
                    <xdr:rowOff>107950</xdr:rowOff>
                  </from>
                  <to>
                    <xdr:col>7</xdr:col>
                    <xdr:colOff>203200</xdr:colOff>
                    <xdr:row>20</xdr:row>
                    <xdr:rowOff>12700</xdr:rowOff>
                  </to>
                </anchor>
              </controlPr>
            </control>
          </mc:Choice>
        </mc:AlternateContent>
        <mc:AlternateContent xmlns:mc="http://schemas.openxmlformats.org/markup-compatibility/2006">
          <mc:Choice Requires="x14">
            <control shapeId="18611" r:id="rId119" name="Check Box 179">
              <controlPr defaultSize="0" autoFill="0" autoLine="0" autoPict="0">
                <anchor moveWithCells="1">
                  <from>
                    <xdr:col>7</xdr:col>
                    <xdr:colOff>0</xdr:colOff>
                    <xdr:row>19</xdr:row>
                    <xdr:rowOff>107950</xdr:rowOff>
                  </from>
                  <to>
                    <xdr:col>7</xdr:col>
                    <xdr:colOff>203200</xdr:colOff>
                    <xdr:row>21</xdr:row>
                    <xdr:rowOff>12700</xdr:rowOff>
                  </to>
                </anchor>
              </controlPr>
            </control>
          </mc:Choice>
        </mc:AlternateContent>
        <mc:AlternateContent xmlns:mc="http://schemas.openxmlformats.org/markup-compatibility/2006">
          <mc:Choice Requires="x14">
            <control shapeId="18612" r:id="rId120" name="Check Box 180">
              <controlPr defaultSize="0" autoFill="0" autoLine="0" autoPict="0">
                <anchor moveWithCells="1">
                  <from>
                    <xdr:col>7</xdr:col>
                    <xdr:colOff>0</xdr:colOff>
                    <xdr:row>20</xdr:row>
                    <xdr:rowOff>107950</xdr:rowOff>
                  </from>
                  <to>
                    <xdr:col>7</xdr:col>
                    <xdr:colOff>203200</xdr:colOff>
                    <xdr:row>22</xdr:row>
                    <xdr:rowOff>12700</xdr:rowOff>
                  </to>
                </anchor>
              </controlPr>
            </control>
          </mc:Choice>
        </mc:AlternateContent>
        <mc:AlternateContent xmlns:mc="http://schemas.openxmlformats.org/markup-compatibility/2006">
          <mc:Choice Requires="x14">
            <control shapeId="18613" r:id="rId121" name="Check Box 181">
              <controlPr defaultSize="0" autoFill="0" autoLine="0" autoPict="0">
                <anchor moveWithCells="1">
                  <from>
                    <xdr:col>7</xdr:col>
                    <xdr:colOff>0</xdr:colOff>
                    <xdr:row>21</xdr:row>
                    <xdr:rowOff>107950</xdr:rowOff>
                  </from>
                  <to>
                    <xdr:col>7</xdr:col>
                    <xdr:colOff>203200</xdr:colOff>
                    <xdr:row>23</xdr:row>
                    <xdr:rowOff>12700</xdr:rowOff>
                  </to>
                </anchor>
              </controlPr>
            </control>
          </mc:Choice>
        </mc:AlternateContent>
        <mc:AlternateContent xmlns:mc="http://schemas.openxmlformats.org/markup-compatibility/2006">
          <mc:Choice Requires="x14">
            <control shapeId="18614" r:id="rId122" name="Check Box 182">
              <controlPr defaultSize="0" autoFill="0" autoLine="0" autoPict="0">
                <anchor moveWithCells="1">
                  <from>
                    <xdr:col>7</xdr:col>
                    <xdr:colOff>0</xdr:colOff>
                    <xdr:row>22</xdr:row>
                    <xdr:rowOff>107950</xdr:rowOff>
                  </from>
                  <to>
                    <xdr:col>7</xdr:col>
                    <xdr:colOff>203200</xdr:colOff>
                    <xdr:row>24</xdr:row>
                    <xdr:rowOff>12700</xdr:rowOff>
                  </to>
                </anchor>
              </controlPr>
            </control>
          </mc:Choice>
        </mc:AlternateContent>
        <mc:AlternateContent xmlns:mc="http://schemas.openxmlformats.org/markup-compatibility/2006">
          <mc:Choice Requires="x14">
            <control shapeId="18615" r:id="rId123" name="Check Box 183">
              <controlPr defaultSize="0" autoFill="0" autoLine="0" autoPict="0">
                <anchor moveWithCells="1">
                  <from>
                    <xdr:col>7</xdr:col>
                    <xdr:colOff>0</xdr:colOff>
                    <xdr:row>23</xdr:row>
                    <xdr:rowOff>107950</xdr:rowOff>
                  </from>
                  <to>
                    <xdr:col>7</xdr:col>
                    <xdr:colOff>203200</xdr:colOff>
                    <xdr:row>25</xdr:row>
                    <xdr:rowOff>12700</xdr:rowOff>
                  </to>
                </anchor>
              </controlPr>
            </control>
          </mc:Choice>
        </mc:AlternateContent>
        <mc:AlternateContent xmlns:mc="http://schemas.openxmlformats.org/markup-compatibility/2006">
          <mc:Choice Requires="x14">
            <control shapeId="18616" r:id="rId124" name="Check Box 184">
              <controlPr defaultSize="0" autoFill="0" autoLine="0" autoPict="0">
                <anchor moveWithCells="1">
                  <from>
                    <xdr:col>7</xdr:col>
                    <xdr:colOff>0</xdr:colOff>
                    <xdr:row>24</xdr:row>
                    <xdr:rowOff>107950</xdr:rowOff>
                  </from>
                  <to>
                    <xdr:col>7</xdr:col>
                    <xdr:colOff>203200</xdr:colOff>
                    <xdr:row>26</xdr:row>
                    <xdr:rowOff>12700</xdr:rowOff>
                  </to>
                </anchor>
              </controlPr>
            </control>
          </mc:Choice>
        </mc:AlternateContent>
        <mc:AlternateContent xmlns:mc="http://schemas.openxmlformats.org/markup-compatibility/2006">
          <mc:Choice Requires="x14">
            <control shapeId="18617" r:id="rId125" name="Check Box 185">
              <controlPr defaultSize="0" autoFill="0" autoLine="0" autoPict="0">
                <anchor moveWithCells="1">
                  <from>
                    <xdr:col>7</xdr:col>
                    <xdr:colOff>0</xdr:colOff>
                    <xdr:row>25</xdr:row>
                    <xdr:rowOff>107950</xdr:rowOff>
                  </from>
                  <to>
                    <xdr:col>7</xdr:col>
                    <xdr:colOff>203200</xdr:colOff>
                    <xdr:row>27</xdr:row>
                    <xdr:rowOff>12700</xdr:rowOff>
                  </to>
                </anchor>
              </controlPr>
            </control>
          </mc:Choice>
        </mc:AlternateContent>
        <mc:AlternateContent xmlns:mc="http://schemas.openxmlformats.org/markup-compatibility/2006">
          <mc:Choice Requires="x14">
            <control shapeId="18618" r:id="rId126" name="Check Box 186">
              <controlPr defaultSize="0" autoFill="0" autoLine="0" autoPict="0">
                <anchor moveWithCells="1">
                  <from>
                    <xdr:col>7</xdr:col>
                    <xdr:colOff>0</xdr:colOff>
                    <xdr:row>26</xdr:row>
                    <xdr:rowOff>107950</xdr:rowOff>
                  </from>
                  <to>
                    <xdr:col>7</xdr:col>
                    <xdr:colOff>203200</xdr:colOff>
                    <xdr:row>28</xdr:row>
                    <xdr:rowOff>12700</xdr:rowOff>
                  </to>
                </anchor>
              </controlPr>
            </control>
          </mc:Choice>
        </mc:AlternateContent>
        <mc:AlternateContent xmlns:mc="http://schemas.openxmlformats.org/markup-compatibility/2006">
          <mc:Choice Requires="x14">
            <control shapeId="18619" r:id="rId127" name="Check Box 187">
              <controlPr defaultSize="0" autoFill="0" autoLine="0" autoPict="0">
                <anchor moveWithCells="1">
                  <from>
                    <xdr:col>7</xdr:col>
                    <xdr:colOff>0</xdr:colOff>
                    <xdr:row>27</xdr:row>
                    <xdr:rowOff>107950</xdr:rowOff>
                  </from>
                  <to>
                    <xdr:col>7</xdr:col>
                    <xdr:colOff>203200</xdr:colOff>
                    <xdr:row>29</xdr:row>
                    <xdr:rowOff>12700</xdr:rowOff>
                  </to>
                </anchor>
              </controlPr>
            </control>
          </mc:Choice>
        </mc:AlternateContent>
        <mc:AlternateContent xmlns:mc="http://schemas.openxmlformats.org/markup-compatibility/2006">
          <mc:Choice Requires="x14">
            <control shapeId="18620" r:id="rId128" name="Check Box 188">
              <controlPr defaultSize="0" autoFill="0" autoLine="0" autoPict="0">
                <anchor moveWithCells="1">
                  <from>
                    <xdr:col>7</xdr:col>
                    <xdr:colOff>0</xdr:colOff>
                    <xdr:row>28</xdr:row>
                    <xdr:rowOff>107950</xdr:rowOff>
                  </from>
                  <to>
                    <xdr:col>7</xdr:col>
                    <xdr:colOff>203200</xdr:colOff>
                    <xdr:row>30</xdr:row>
                    <xdr:rowOff>12700</xdr:rowOff>
                  </to>
                </anchor>
              </controlPr>
            </control>
          </mc:Choice>
        </mc:AlternateContent>
        <mc:AlternateContent xmlns:mc="http://schemas.openxmlformats.org/markup-compatibility/2006">
          <mc:Choice Requires="x14">
            <control shapeId="18621" r:id="rId129" name="Check Box 189">
              <controlPr defaultSize="0" autoFill="0" autoLine="0" autoPict="0">
                <anchor moveWithCells="1">
                  <from>
                    <xdr:col>7</xdr:col>
                    <xdr:colOff>0</xdr:colOff>
                    <xdr:row>29</xdr:row>
                    <xdr:rowOff>107950</xdr:rowOff>
                  </from>
                  <to>
                    <xdr:col>7</xdr:col>
                    <xdr:colOff>203200</xdr:colOff>
                    <xdr:row>31</xdr:row>
                    <xdr:rowOff>12700</xdr:rowOff>
                  </to>
                </anchor>
              </controlPr>
            </control>
          </mc:Choice>
        </mc:AlternateContent>
        <mc:AlternateContent xmlns:mc="http://schemas.openxmlformats.org/markup-compatibility/2006">
          <mc:Choice Requires="x14">
            <control shapeId="18622" r:id="rId130" name="Check Box 190">
              <controlPr defaultSize="0" autoFill="0" autoLine="0" autoPict="0">
                <anchor moveWithCells="1">
                  <from>
                    <xdr:col>7</xdr:col>
                    <xdr:colOff>0</xdr:colOff>
                    <xdr:row>30</xdr:row>
                    <xdr:rowOff>107950</xdr:rowOff>
                  </from>
                  <to>
                    <xdr:col>7</xdr:col>
                    <xdr:colOff>203200</xdr:colOff>
                    <xdr:row>32</xdr:row>
                    <xdr:rowOff>12700</xdr:rowOff>
                  </to>
                </anchor>
              </controlPr>
            </control>
          </mc:Choice>
        </mc:AlternateContent>
        <mc:AlternateContent xmlns:mc="http://schemas.openxmlformats.org/markup-compatibility/2006">
          <mc:Choice Requires="x14">
            <control shapeId="18623" r:id="rId131" name="Check Box 191">
              <controlPr defaultSize="0" autoFill="0" autoLine="0" autoPict="0">
                <anchor moveWithCells="1">
                  <from>
                    <xdr:col>7</xdr:col>
                    <xdr:colOff>0</xdr:colOff>
                    <xdr:row>31</xdr:row>
                    <xdr:rowOff>107950</xdr:rowOff>
                  </from>
                  <to>
                    <xdr:col>7</xdr:col>
                    <xdr:colOff>203200</xdr:colOff>
                    <xdr:row>33</xdr:row>
                    <xdr:rowOff>12700</xdr:rowOff>
                  </to>
                </anchor>
              </controlPr>
            </control>
          </mc:Choice>
        </mc:AlternateContent>
        <mc:AlternateContent xmlns:mc="http://schemas.openxmlformats.org/markup-compatibility/2006">
          <mc:Choice Requires="x14">
            <control shapeId="18624" r:id="rId132" name="Check Box 192">
              <controlPr defaultSize="0" autoFill="0" autoLine="0" autoPict="0">
                <anchor moveWithCells="1">
                  <from>
                    <xdr:col>7</xdr:col>
                    <xdr:colOff>0</xdr:colOff>
                    <xdr:row>32</xdr:row>
                    <xdr:rowOff>107950</xdr:rowOff>
                  </from>
                  <to>
                    <xdr:col>7</xdr:col>
                    <xdr:colOff>203200</xdr:colOff>
                    <xdr:row>34</xdr:row>
                    <xdr:rowOff>12700</xdr:rowOff>
                  </to>
                </anchor>
              </controlPr>
            </control>
          </mc:Choice>
        </mc:AlternateContent>
        <mc:AlternateContent xmlns:mc="http://schemas.openxmlformats.org/markup-compatibility/2006">
          <mc:Choice Requires="x14">
            <control shapeId="18625" r:id="rId133" name="Check Box 193">
              <controlPr defaultSize="0" autoFill="0" autoLine="0" autoPict="0">
                <anchor moveWithCells="1">
                  <from>
                    <xdr:col>7</xdr:col>
                    <xdr:colOff>0</xdr:colOff>
                    <xdr:row>33</xdr:row>
                    <xdr:rowOff>107950</xdr:rowOff>
                  </from>
                  <to>
                    <xdr:col>7</xdr:col>
                    <xdr:colOff>203200</xdr:colOff>
                    <xdr:row>35</xdr:row>
                    <xdr:rowOff>12700</xdr:rowOff>
                  </to>
                </anchor>
              </controlPr>
            </control>
          </mc:Choice>
        </mc:AlternateContent>
        <mc:AlternateContent xmlns:mc="http://schemas.openxmlformats.org/markup-compatibility/2006">
          <mc:Choice Requires="x14">
            <control shapeId="18626" r:id="rId134" name="Check Box 194">
              <controlPr defaultSize="0" autoFill="0" autoLine="0" autoPict="0">
                <anchor moveWithCells="1">
                  <from>
                    <xdr:col>7</xdr:col>
                    <xdr:colOff>0</xdr:colOff>
                    <xdr:row>34</xdr:row>
                    <xdr:rowOff>107950</xdr:rowOff>
                  </from>
                  <to>
                    <xdr:col>7</xdr:col>
                    <xdr:colOff>203200</xdr:colOff>
                    <xdr:row>36</xdr:row>
                    <xdr:rowOff>12700</xdr:rowOff>
                  </to>
                </anchor>
              </controlPr>
            </control>
          </mc:Choice>
        </mc:AlternateContent>
        <mc:AlternateContent xmlns:mc="http://schemas.openxmlformats.org/markup-compatibility/2006">
          <mc:Choice Requires="x14">
            <control shapeId="18627" r:id="rId135" name="Check Box 195">
              <controlPr defaultSize="0" autoFill="0" autoLine="0" autoPict="0">
                <anchor moveWithCells="1">
                  <from>
                    <xdr:col>7</xdr:col>
                    <xdr:colOff>0</xdr:colOff>
                    <xdr:row>35</xdr:row>
                    <xdr:rowOff>107950</xdr:rowOff>
                  </from>
                  <to>
                    <xdr:col>7</xdr:col>
                    <xdr:colOff>203200</xdr:colOff>
                    <xdr:row>37</xdr:row>
                    <xdr:rowOff>12700</xdr:rowOff>
                  </to>
                </anchor>
              </controlPr>
            </control>
          </mc:Choice>
        </mc:AlternateContent>
        <mc:AlternateContent xmlns:mc="http://schemas.openxmlformats.org/markup-compatibility/2006">
          <mc:Choice Requires="x14">
            <control shapeId="18628" r:id="rId136" name="Check Box 196">
              <controlPr defaultSize="0" autoFill="0" autoLine="0" autoPict="0">
                <anchor moveWithCells="1">
                  <from>
                    <xdr:col>7</xdr:col>
                    <xdr:colOff>0</xdr:colOff>
                    <xdr:row>36</xdr:row>
                    <xdr:rowOff>107950</xdr:rowOff>
                  </from>
                  <to>
                    <xdr:col>7</xdr:col>
                    <xdr:colOff>203200</xdr:colOff>
                    <xdr:row>38</xdr:row>
                    <xdr:rowOff>12700</xdr:rowOff>
                  </to>
                </anchor>
              </controlPr>
            </control>
          </mc:Choice>
        </mc:AlternateContent>
        <mc:AlternateContent xmlns:mc="http://schemas.openxmlformats.org/markup-compatibility/2006">
          <mc:Choice Requires="x14">
            <control shapeId="18629" r:id="rId137" name="Check Box 197">
              <controlPr defaultSize="0" autoFill="0" autoLine="0" autoPict="0">
                <anchor moveWithCells="1">
                  <from>
                    <xdr:col>7</xdr:col>
                    <xdr:colOff>0</xdr:colOff>
                    <xdr:row>37</xdr:row>
                    <xdr:rowOff>107950</xdr:rowOff>
                  </from>
                  <to>
                    <xdr:col>7</xdr:col>
                    <xdr:colOff>203200</xdr:colOff>
                    <xdr:row>39</xdr:row>
                    <xdr:rowOff>12700</xdr:rowOff>
                  </to>
                </anchor>
              </controlPr>
            </control>
          </mc:Choice>
        </mc:AlternateContent>
        <mc:AlternateContent xmlns:mc="http://schemas.openxmlformats.org/markup-compatibility/2006">
          <mc:Choice Requires="x14">
            <control shapeId="18630" r:id="rId138" name="Check Box 198">
              <controlPr defaultSize="0" autoFill="0" autoLine="0" autoPict="0">
                <anchor moveWithCells="1">
                  <from>
                    <xdr:col>7</xdr:col>
                    <xdr:colOff>0</xdr:colOff>
                    <xdr:row>38</xdr:row>
                    <xdr:rowOff>107950</xdr:rowOff>
                  </from>
                  <to>
                    <xdr:col>7</xdr:col>
                    <xdr:colOff>203200</xdr:colOff>
                    <xdr:row>40</xdr:row>
                    <xdr:rowOff>12700</xdr:rowOff>
                  </to>
                </anchor>
              </controlPr>
            </control>
          </mc:Choice>
        </mc:AlternateContent>
        <mc:AlternateContent xmlns:mc="http://schemas.openxmlformats.org/markup-compatibility/2006">
          <mc:Choice Requires="x14">
            <control shapeId="18631" r:id="rId139" name="Check Box 199">
              <controlPr defaultSize="0" autoFill="0" autoLine="0" autoPict="0">
                <anchor moveWithCells="1">
                  <from>
                    <xdr:col>7</xdr:col>
                    <xdr:colOff>0</xdr:colOff>
                    <xdr:row>39</xdr:row>
                    <xdr:rowOff>107950</xdr:rowOff>
                  </from>
                  <to>
                    <xdr:col>7</xdr:col>
                    <xdr:colOff>203200</xdr:colOff>
                    <xdr:row>41</xdr:row>
                    <xdr:rowOff>12700</xdr:rowOff>
                  </to>
                </anchor>
              </controlPr>
            </control>
          </mc:Choice>
        </mc:AlternateContent>
        <mc:AlternateContent xmlns:mc="http://schemas.openxmlformats.org/markup-compatibility/2006">
          <mc:Choice Requires="x14">
            <control shapeId="18632" r:id="rId140" name="Check Box 200">
              <controlPr defaultSize="0" autoFill="0" autoLine="0" autoPict="0">
                <anchor moveWithCells="1">
                  <from>
                    <xdr:col>7</xdr:col>
                    <xdr:colOff>0</xdr:colOff>
                    <xdr:row>40</xdr:row>
                    <xdr:rowOff>107950</xdr:rowOff>
                  </from>
                  <to>
                    <xdr:col>7</xdr:col>
                    <xdr:colOff>203200</xdr:colOff>
                    <xdr:row>42</xdr:row>
                    <xdr:rowOff>12700</xdr:rowOff>
                  </to>
                </anchor>
              </controlPr>
            </control>
          </mc:Choice>
        </mc:AlternateContent>
        <mc:AlternateContent xmlns:mc="http://schemas.openxmlformats.org/markup-compatibility/2006">
          <mc:Choice Requires="x14">
            <control shapeId="18633" r:id="rId141" name="Check Box 201">
              <controlPr defaultSize="0" autoFill="0" autoLine="0" autoPict="0">
                <anchor moveWithCells="1">
                  <from>
                    <xdr:col>7</xdr:col>
                    <xdr:colOff>0</xdr:colOff>
                    <xdr:row>41</xdr:row>
                    <xdr:rowOff>107950</xdr:rowOff>
                  </from>
                  <to>
                    <xdr:col>7</xdr:col>
                    <xdr:colOff>203200</xdr:colOff>
                    <xdr:row>43</xdr:row>
                    <xdr:rowOff>12700</xdr:rowOff>
                  </to>
                </anchor>
              </controlPr>
            </control>
          </mc:Choice>
        </mc:AlternateContent>
        <mc:AlternateContent xmlns:mc="http://schemas.openxmlformats.org/markup-compatibility/2006">
          <mc:Choice Requires="x14">
            <control shapeId="18634" r:id="rId142" name="Check Box 202">
              <controlPr defaultSize="0" autoFill="0" autoLine="0" autoPict="0">
                <anchor moveWithCells="1">
                  <from>
                    <xdr:col>7</xdr:col>
                    <xdr:colOff>0</xdr:colOff>
                    <xdr:row>42</xdr:row>
                    <xdr:rowOff>107950</xdr:rowOff>
                  </from>
                  <to>
                    <xdr:col>7</xdr:col>
                    <xdr:colOff>203200</xdr:colOff>
                    <xdr:row>44</xdr:row>
                    <xdr:rowOff>12700</xdr:rowOff>
                  </to>
                </anchor>
              </controlPr>
            </control>
          </mc:Choice>
        </mc:AlternateContent>
        <mc:AlternateContent xmlns:mc="http://schemas.openxmlformats.org/markup-compatibility/2006">
          <mc:Choice Requires="x14">
            <control shapeId="18635" r:id="rId143" name="Check Box 203">
              <controlPr defaultSize="0" autoFill="0" autoLine="0" autoPict="0">
                <anchor moveWithCells="1">
                  <from>
                    <xdr:col>7</xdr:col>
                    <xdr:colOff>0</xdr:colOff>
                    <xdr:row>43</xdr:row>
                    <xdr:rowOff>107950</xdr:rowOff>
                  </from>
                  <to>
                    <xdr:col>7</xdr:col>
                    <xdr:colOff>203200</xdr:colOff>
                    <xdr:row>45</xdr:row>
                    <xdr:rowOff>12700</xdr:rowOff>
                  </to>
                </anchor>
              </controlPr>
            </control>
          </mc:Choice>
        </mc:AlternateContent>
        <mc:AlternateContent xmlns:mc="http://schemas.openxmlformats.org/markup-compatibility/2006">
          <mc:Choice Requires="x14">
            <control shapeId="18636" r:id="rId144" name="Check Box 204">
              <controlPr defaultSize="0" autoFill="0" autoLine="0" autoPict="0">
                <anchor moveWithCells="1">
                  <from>
                    <xdr:col>7</xdr:col>
                    <xdr:colOff>0</xdr:colOff>
                    <xdr:row>44</xdr:row>
                    <xdr:rowOff>107950</xdr:rowOff>
                  </from>
                  <to>
                    <xdr:col>7</xdr:col>
                    <xdr:colOff>203200</xdr:colOff>
                    <xdr:row>46</xdr:row>
                    <xdr:rowOff>12700</xdr:rowOff>
                  </to>
                </anchor>
              </controlPr>
            </control>
          </mc:Choice>
        </mc:AlternateContent>
        <mc:AlternateContent xmlns:mc="http://schemas.openxmlformats.org/markup-compatibility/2006">
          <mc:Choice Requires="x14">
            <control shapeId="18637" r:id="rId145" name="Check Box 205">
              <controlPr defaultSize="0" autoFill="0" autoLine="0" autoPict="0">
                <anchor moveWithCells="1">
                  <from>
                    <xdr:col>12</xdr:col>
                    <xdr:colOff>0</xdr:colOff>
                    <xdr:row>5</xdr:row>
                    <xdr:rowOff>107950</xdr:rowOff>
                  </from>
                  <to>
                    <xdr:col>12</xdr:col>
                    <xdr:colOff>203200</xdr:colOff>
                    <xdr:row>7</xdr:row>
                    <xdr:rowOff>12700</xdr:rowOff>
                  </to>
                </anchor>
              </controlPr>
            </control>
          </mc:Choice>
        </mc:AlternateContent>
        <mc:AlternateContent xmlns:mc="http://schemas.openxmlformats.org/markup-compatibility/2006">
          <mc:Choice Requires="x14">
            <control shapeId="18638" r:id="rId146" name="Check Box 206">
              <controlPr defaultSize="0" autoFill="0" autoLine="0" autoPict="0">
                <anchor moveWithCells="1">
                  <from>
                    <xdr:col>12</xdr:col>
                    <xdr:colOff>0</xdr:colOff>
                    <xdr:row>6</xdr:row>
                    <xdr:rowOff>107950</xdr:rowOff>
                  </from>
                  <to>
                    <xdr:col>12</xdr:col>
                    <xdr:colOff>203200</xdr:colOff>
                    <xdr:row>8</xdr:row>
                    <xdr:rowOff>12700</xdr:rowOff>
                  </to>
                </anchor>
              </controlPr>
            </control>
          </mc:Choice>
        </mc:AlternateContent>
        <mc:AlternateContent xmlns:mc="http://schemas.openxmlformats.org/markup-compatibility/2006">
          <mc:Choice Requires="x14">
            <control shapeId="18639" r:id="rId147" name="Check Box 207">
              <controlPr defaultSize="0" autoFill="0" autoLine="0" autoPict="0">
                <anchor moveWithCells="1">
                  <from>
                    <xdr:col>12</xdr:col>
                    <xdr:colOff>0</xdr:colOff>
                    <xdr:row>7</xdr:row>
                    <xdr:rowOff>107950</xdr:rowOff>
                  </from>
                  <to>
                    <xdr:col>12</xdr:col>
                    <xdr:colOff>203200</xdr:colOff>
                    <xdr:row>9</xdr:row>
                    <xdr:rowOff>12700</xdr:rowOff>
                  </to>
                </anchor>
              </controlPr>
            </control>
          </mc:Choice>
        </mc:AlternateContent>
        <mc:AlternateContent xmlns:mc="http://schemas.openxmlformats.org/markup-compatibility/2006">
          <mc:Choice Requires="x14">
            <control shapeId="18640" r:id="rId148" name="Check Box 208">
              <controlPr defaultSize="0" autoFill="0" autoLine="0" autoPict="0">
                <anchor moveWithCells="1">
                  <from>
                    <xdr:col>12</xdr:col>
                    <xdr:colOff>0</xdr:colOff>
                    <xdr:row>8</xdr:row>
                    <xdr:rowOff>107950</xdr:rowOff>
                  </from>
                  <to>
                    <xdr:col>12</xdr:col>
                    <xdr:colOff>203200</xdr:colOff>
                    <xdr:row>10</xdr:row>
                    <xdr:rowOff>12700</xdr:rowOff>
                  </to>
                </anchor>
              </controlPr>
            </control>
          </mc:Choice>
        </mc:AlternateContent>
        <mc:AlternateContent xmlns:mc="http://schemas.openxmlformats.org/markup-compatibility/2006">
          <mc:Choice Requires="x14">
            <control shapeId="18641" r:id="rId149" name="Check Box 209">
              <controlPr defaultSize="0" autoFill="0" autoLine="0" autoPict="0">
                <anchor moveWithCells="1">
                  <from>
                    <xdr:col>12</xdr:col>
                    <xdr:colOff>0</xdr:colOff>
                    <xdr:row>9</xdr:row>
                    <xdr:rowOff>107950</xdr:rowOff>
                  </from>
                  <to>
                    <xdr:col>12</xdr:col>
                    <xdr:colOff>203200</xdr:colOff>
                    <xdr:row>11</xdr:row>
                    <xdr:rowOff>12700</xdr:rowOff>
                  </to>
                </anchor>
              </controlPr>
            </control>
          </mc:Choice>
        </mc:AlternateContent>
        <mc:AlternateContent xmlns:mc="http://schemas.openxmlformats.org/markup-compatibility/2006">
          <mc:Choice Requires="x14">
            <control shapeId="18648" r:id="rId150" name="Check Box 216">
              <controlPr defaultSize="0" autoFill="0" autoLine="0" autoPict="0">
                <anchor moveWithCells="1">
                  <from>
                    <xdr:col>12</xdr:col>
                    <xdr:colOff>0</xdr:colOff>
                    <xdr:row>10</xdr:row>
                    <xdr:rowOff>107950</xdr:rowOff>
                  </from>
                  <to>
                    <xdr:col>12</xdr:col>
                    <xdr:colOff>203200</xdr:colOff>
                    <xdr:row>12</xdr:row>
                    <xdr:rowOff>12700</xdr:rowOff>
                  </to>
                </anchor>
              </controlPr>
            </control>
          </mc:Choice>
        </mc:AlternateContent>
        <mc:AlternateContent xmlns:mc="http://schemas.openxmlformats.org/markup-compatibility/2006">
          <mc:Choice Requires="x14">
            <control shapeId="18649" r:id="rId151" name="Check Box 217">
              <controlPr defaultSize="0" autoFill="0" autoLine="0" autoPict="0">
                <anchor moveWithCells="1">
                  <from>
                    <xdr:col>12</xdr:col>
                    <xdr:colOff>0</xdr:colOff>
                    <xdr:row>11</xdr:row>
                    <xdr:rowOff>107950</xdr:rowOff>
                  </from>
                  <to>
                    <xdr:col>12</xdr:col>
                    <xdr:colOff>203200</xdr:colOff>
                    <xdr:row>13</xdr:row>
                    <xdr:rowOff>12700</xdr:rowOff>
                  </to>
                </anchor>
              </controlPr>
            </control>
          </mc:Choice>
        </mc:AlternateContent>
        <mc:AlternateContent xmlns:mc="http://schemas.openxmlformats.org/markup-compatibility/2006">
          <mc:Choice Requires="x14">
            <control shapeId="18650" r:id="rId152" name="Check Box 218">
              <controlPr defaultSize="0" autoFill="0" autoLine="0" autoPict="0">
                <anchor moveWithCells="1">
                  <from>
                    <xdr:col>12</xdr:col>
                    <xdr:colOff>0</xdr:colOff>
                    <xdr:row>12</xdr:row>
                    <xdr:rowOff>107950</xdr:rowOff>
                  </from>
                  <to>
                    <xdr:col>12</xdr:col>
                    <xdr:colOff>203200</xdr:colOff>
                    <xdr:row>14</xdr:row>
                    <xdr:rowOff>12700</xdr:rowOff>
                  </to>
                </anchor>
              </controlPr>
            </control>
          </mc:Choice>
        </mc:AlternateContent>
        <mc:AlternateContent xmlns:mc="http://schemas.openxmlformats.org/markup-compatibility/2006">
          <mc:Choice Requires="x14">
            <control shapeId="18651" r:id="rId153" name="Check Box 219">
              <controlPr defaultSize="0" autoFill="0" autoLine="0" autoPict="0">
                <anchor moveWithCells="1">
                  <from>
                    <xdr:col>12</xdr:col>
                    <xdr:colOff>0</xdr:colOff>
                    <xdr:row>13</xdr:row>
                    <xdr:rowOff>107950</xdr:rowOff>
                  </from>
                  <to>
                    <xdr:col>12</xdr:col>
                    <xdr:colOff>203200</xdr:colOff>
                    <xdr:row>15</xdr:row>
                    <xdr:rowOff>12700</xdr:rowOff>
                  </to>
                </anchor>
              </controlPr>
            </control>
          </mc:Choice>
        </mc:AlternateContent>
        <mc:AlternateContent xmlns:mc="http://schemas.openxmlformats.org/markup-compatibility/2006">
          <mc:Choice Requires="x14">
            <control shapeId="18652" r:id="rId154" name="Check Box 220">
              <controlPr defaultSize="0" autoFill="0" autoLine="0" autoPict="0">
                <anchor moveWithCells="1">
                  <from>
                    <xdr:col>12</xdr:col>
                    <xdr:colOff>0</xdr:colOff>
                    <xdr:row>14</xdr:row>
                    <xdr:rowOff>107950</xdr:rowOff>
                  </from>
                  <to>
                    <xdr:col>12</xdr:col>
                    <xdr:colOff>203200</xdr:colOff>
                    <xdr:row>16</xdr:row>
                    <xdr:rowOff>12700</xdr:rowOff>
                  </to>
                </anchor>
              </controlPr>
            </control>
          </mc:Choice>
        </mc:AlternateContent>
        <mc:AlternateContent xmlns:mc="http://schemas.openxmlformats.org/markup-compatibility/2006">
          <mc:Choice Requires="x14">
            <control shapeId="18653" r:id="rId155" name="Check Box 221">
              <controlPr defaultSize="0" autoFill="0" autoLine="0" autoPict="0">
                <anchor moveWithCells="1">
                  <from>
                    <xdr:col>12</xdr:col>
                    <xdr:colOff>0</xdr:colOff>
                    <xdr:row>15</xdr:row>
                    <xdr:rowOff>107950</xdr:rowOff>
                  </from>
                  <to>
                    <xdr:col>12</xdr:col>
                    <xdr:colOff>203200</xdr:colOff>
                    <xdr:row>17</xdr:row>
                    <xdr:rowOff>12700</xdr:rowOff>
                  </to>
                </anchor>
              </controlPr>
            </control>
          </mc:Choice>
        </mc:AlternateContent>
        <mc:AlternateContent xmlns:mc="http://schemas.openxmlformats.org/markup-compatibility/2006">
          <mc:Choice Requires="x14">
            <control shapeId="18654" r:id="rId156" name="Check Box 222">
              <controlPr defaultSize="0" autoFill="0" autoLine="0" autoPict="0">
                <anchor moveWithCells="1">
                  <from>
                    <xdr:col>12</xdr:col>
                    <xdr:colOff>0</xdr:colOff>
                    <xdr:row>16</xdr:row>
                    <xdr:rowOff>107950</xdr:rowOff>
                  </from>
                  <to>
                    <xdr:col>12</xdr:col>
                    <xdr:colOff>203200</xdr:colOff>
                    <xdr:row>18</xdr:row>
                    <xdr:rowOff>12700</xdr:rowOff>
                  </to>
                </anchor>
              </controlPr>
            </control>
          </mc:Choice>
        </mc:AlternateContent>
        <mc:AlternateContent xmlns:mc="http://schemas.openxmlformats.org/markup-compatibility/2006">
          <mc:Choice Requires="x14">
            <control shapeId="18655" r:id="rId157" name="Check Box 223">
              <controlPr defaultSize="0" autoFill="0" autoLine="0" autoPict="0">
                <anchor moveWithCells="1">
                  <from>
                    <xdr:col>12</xdr:col>
                    <xdr:colOff>0</xdr:colOff>
                    <xdr:row>17</xdr:row>
                    <xdr:rowOff>107950</xdr:rowOff>
                  </from>
                  <to>
                    <xdr:col>12</xdr:col>
                    <xdr:colOff>203200</xdr:colOff>
                    <xdr:row>19</xdr:row>
                    <xdr:rowOff>12700</xdr:rowOff>
                  </to>
                </anchor>
              </controlPr>
            </control>
          </mc:Choice>
        </mc:AlternateContent>
        <mc:AlternateContent xmlns:mc="http://schemas.openxmlformats.org/markup-compatibility/2006">
          <mc:Choice Requires="x14">
            <control shapeId="18656" r:id="rId158" name="Check Box 224">
              <controlPr defaultSize="0" autoFill="0" autoLine="0" autoPict="0">
                <anchor moveWithCells="1">
                  <from>
                    <xdr:col>12</xdr:col>
                    <xdr:colOff>0</xdr:colOff>
                    <xdr:row>18</xdr:row>
                    <xdr:rowOff>107950</xdr:rowOff>
                  </from>
                  <to>
                    <xdr:col>12</xdr:col>
                    <xdr:colOff>203200</xdr:colOff>
                    <xdr:row>20</xdr:row>
                    <xdr:rowOff>12700</xdr:rowOff>
                  </to>
                </anchor>
              </controlPr>
            </control>
          </mc:Choice>
        </mc:AlternateContent>
        <mc:AlternateContent xmlns:mc="http://schemas.openxmlformats.org/markup-compatibility/2006">
          <mc:Choice Requires="x14">
            <control shapeId="18657" r:id="rId159" name="Check Box 225">
              <controlPr defaultSize="0" autoFill="0" autoLine="0" autoPict="0">
                <anchor moveWithCells="1">
                  <from>
                    <xdr:col>12</xdr:col>
                    <xdr:colOff>0</xdr:colOff>
                    <xdr:row>19</xdr:row>
                    <xdr:rowOff>107950</xdr:rowOff>
                  </from>
                  <to>
                    <xdr:col>12</xdr:col>
                    <xdr:colOff>203200</xdr:colOff>
                    <xdr:row>21</xdr:row>
                    <xdr:rowOff>12700</xdr:rowOff>
                  </to>
                </anchor>
              </controlPr>
            </control>
          </mc:Choice>
        </mc:AlternateContent>
        <mc:AlternateContent xmlns:mc="http://schemas.openxmlformats.org/markup-compatibility/2006">
          <mc:Choice Requires="x14">
            <control shapeId="18658" r:id="rId160" name="Check Box 226">
              <controlPr defaultSize="0" autoFill="0" autoLine="0" autoPict="0">
                <anchor moveWithCells="1">
                  <from>
                    <xdr:col>12</xdr:col>
                    <xdr:colOff>0</xdr:colOff>
                    <xdr:row>20</xdr:row>
                    <xdr:rowOff>107950</xdr:rowOff>
                  </from>
                  <to>
                    <xdr:col>12</xdr:col>
                    <xdr:colOff>203200</xdr:colOff>
                    <xdr:row>22</xdr:row>
                    <xdr:rowOff>12700</xdr:rowOff>
                  </to>
                </anchor>
              </controlPr>
            </control>
          </mc:Choice>
        </mc:AlternateContent>
        <mc:AlternateContent xmlns:mc="http://schemas.openxmlformats.org/markup-compatibility/2006">
          <mc:Choice Requires="x14">
            <control shapeId="18659" r:id="rId161" name="Check Box 227">
              <controlPr defaultSize="0" autoFill="0" autoLine="0" autoPict="0">
                <anchor moveWithCells="1">
                  <from>
                    <xdr:col>12</xdr:col>
                    <xdr:colOff>0</xdr:colOff>
                    <xdr:row>21</xdr:row>
                    <xdr:rowOff>107950</xdr:rowOff>
                  </from>
                  <to>
                    <xdr:col>12</xdr:col>
                    <xdr:colOff>203200</xdr:colOff>
                    <xdr:row>23</xdr:row>
                    <xdr:rowOff>12700</xdr:rowOff>
                  </to>
                </anchor>
              </controlPr>
            </control>
          </mc:Choice>
        </mc:AlternateContent>
        <mc:AlternateContent xmlns:mc="http://schemas.openxmlformats.org/markup-compatibility/2006">
          <mc:Choice Requires="x14">
            <control shapeId="18660" r:id="rId162" name="Check Box 228">
              <controlPr defaultSize="0" autoFill="0" autoLine="0" autoPict="0">
                <anchor moveWithCells="1">
                  <from>
                    <xdr:col>12</xdr:col>
                    <xdr:colOff>0</xdr:colOff>
                    <xdr:row>22</xdr:row>
                    <xdr:rowOff>107950</xdr:rowOff>
                  </from>
                  <to>
                    <xdr:col>12</xdr:col>
                    <xdr:colOff>203200</xdr:colOff>
                    <xdr:row>24</xdr:row>
                    <xdr:rowOff>12700</xdr:rowOff>
                  </to>
                </anchor>
              </controlPr>
            </control>
          </mc:Choice>
        </mc:AlternateContent>
        <mc:AlternateContent xmlns:mc="http://schemas.openxmlformats.org/markup-compatibility/2006">
          <mc:Choice Requires="x14">
            <control shapeId="18661" r:id="rId163" name="Check Box 229">
              <controlPr defaultSize="0" autoFill="0" autoLine="0" autoPict="0">
                <anchor moveWithCells="1">
                  <from>
                    <xdr:col>12</xdr:col>
                    <xdr:colOff>0</xdr:colOff>
                    <xdr:row>23</xdr:row>
                    <xdr:rowOff>107950</xdr:rowOff>
                  </from>
                  <to>
                    <xdr:col>12</xdr:col>
                    <xdr:colOff>203200</xdr:colOff>
                    <xdr:row>25</xdr:row>
                    <xdr:rowOff>12700</xdr:rowOff>
                  </to>
                </anchor>
              </controlPr>
            </control>
          </mc:Choice>
        </mc:AlternateContent>
        <mc:AlternateContent xmlns:mc="http://schemas.openxmlformats.org/markup-compatibility/2006">
          <mc:Choice Requires="x14">
            <control shapeId="18662" r:id="rId164" name="Check Box 230">
              <controlPr defaultSize="0" autoFill="0" autoLine="0" autoPict="0">
                <anchor moveWithCells="1">
                  <from>
                    <xdr:col>12</xdr:col>
                    <xdr:colOff>0</xdr:colOff>
                    <xdr:row>24</xdr:row>
                    <xdr:rowOff>107950</xdr:rowOff>
                  </from>
                  <to>
                    <xdr:col>12</xdr:col>
                    <xdr:colOff>203200</xdr:colOff>
                    <xdr:row>26</xdr:row>
                    <xdr:rowOff>12700</xdr:rowOff>
                  </to>
                </anchor>
              </controlPr>
            </control>
          </mc:Choice>
        </mc:AlternateContent>
        <mc:AlternateContent xmlns:mc="http://schemas.openxmlformats.org/markup-compatibility/2006">
          <mc:Choice Requires="x14">
            <control shapeId="18663" r:id="rId165" name="Check Box 231">
              <controlPr defaultSize="0" autoFill="0" autoLine="0" autoPict="0">
                <anchor moveWithCells="1">
                  <from>
                    <xdr:col>12</xdr:col>
                    <xdr:colOff>0</xdr:colOff>
                    <xdr:row>25</xdr:row>
                    <xdr:rowOff>107950</xdr:rowOff>
                  </from>
                  <to>
                    <xdr:col>12</xdr:col>
                    <xdr:colOff>203200</xdr:colOff>
                    <xdr:row>27</xdr:row>
                    <xdr:rowOff>12700</xdr:rowOff>
                  </to>
                </anchor>
              </controlPr>
            </control>
          </mc:Choice>
        </mc:AlternateContent>
        <mc:AlternateContent xmlns:mc="http://schemas.openxmlformats.org/markup-compatibility/2006">
          <mc:Choice Requires="x14">
            <control shapeId="18664" r:id="rId166" name="Check Box 232">
              <controlPr defaultSize="0" autoFill="0" autoLine="0" autoPict="0">
                <anchor moveWithCells="1">
                  <from>
                    <xdr:col>12</xdr:col>
                    <xdr:colOff>0</xdr:colOff>
                    <xdr:row>26</xdr:row>
                    <xdr:rowOff>107950</xdr:rowOff>
                  </from>
                  <to>
                    <xdr:col>12</xdr:col>
                    <xdr:colOff>203200</xdr:colOff>
                    <xdr:row>28</xdr:row>
                    <xdr:rowOff>12700</xdr:rowOff>
                  </to>
                </anchor>
              </controlPr>
            </control>
          </mc:Choice>
        </mc:AlternateContent>
        <mc:AlternateContent xmlns:mc="http://schemas.openxmlformats.org/markup-compatibility/2006">
          <mc:Choice Requires="x14">
            <control shapeId="18665" r:id="rId167" name="Check Box 233">
              <controlPr defaultSize="0" autoFill="0" autoLine="0" autoPict="0">
                <anchor moveWithCells="1">
                  <from>
                    <xdr:col>12</xdr:col>
                    <xdr:colOff>0</xdr:colOff>
                    <xdr:row>27</xdr:row>
                    <xdr:rowOff>107950</xdr:rowOff>
                  </from>
                  <to>
                    <xdr:col>12</xdr:col>
                    <xdr:colOff>203200</xdr:colOff>
                    <xdr:row>29</xdr:row>
                    <xdr:rowOff>12700</xdr:rowOff>
                  </to>
                </anchor>
              </controlPr>
            </control>
          </mc:Choice>
        </mc:AlternateContent>
        <mc:AlternateContent xmlns:mc="http://schemas.openxmlformats.org/markup-compatibility/2006">
          <mc:Choice Requires="x14">
            <control shapeId="18666" r:id="rId168" name="Check Box 234">
              <controlPr defaultSize="0" autoFill="0" autoLine="0" autoPict="0">
                <anchor moveWithCells="1">
                  <from>
                    <xdr:col>12</xdr:col>
                    <xdr:colOff>0</xdr:colOff>
                    <xdr:row>28</xdr:row>
                    <xdr:rowOff>107950</xdr:rowOff>
                  </from>
                  <to>
                    <xdr:col>12</xdr:col>
                    <xdr:colOff>203200</xdr:colOff>
                    <xdr:row>30</xdr:row>
                    <xdr:rowOff>12700</xdr:rowOff>
                  </to>
                </anchor>
              </controlPr>
            </control>
          </mc:Choice>
        </mc:AlternateContent>
        <mc:AlternateContent xmlns:mc="http://schemas.openxmlformats.org/markup-compatibility/2006">
          <mc:Choice Requires="x14">
            <control shapeId="18667" r:id="rId169" name="Check Box 235">
              <controlPr defaultSize="0" autoFill="0" autoLine="0" autoPict="0">
                <anchor moveWithCells="1">
                  <from>
                    <xdr:col>12</xdr:col>
                    <xdr:colOff>0</xdr:colOff>
                    <xdr:row>29</xdr:row>
                    <xdr:rowOff>107950</xdr:rowOff>
                  </from>
                  <to>
                    <xdr:col>12</xdr:col>
                    <xdr:colOff>203200</xdr:colOff>
                    <xdr:row>31</xdr:row>
                    <xdr:rowOff>12700</xdr:rowOff>
                  </to>
                </anchor>
              </controlPr>
            </control>
          </mc:Choice>
        </mc:AlternateContent>
        <mc:AlternateContent xmlns:mc="http://schemas.openxmlformats.org/markup-compatibility/2006">
          <mc:Choice Requires="x14">
            <control shapeId="18668" r:id="rId170" name="Check Box 236">
              <controlPr defaultSize="0" autoFill="0" autoLine="0" autoPict="0">
                <anchor moveWithCells="1">
                  <from>
                    <xdr:col>12</xdr:col>
                    <xdr:colOff>0</xdr:colOff>
                    <xdr:row>30</xdr:row>
                    <xdr:rowOff>107950</xdr:rowOff>
                  </from>
                  <to>
                    <xdr:col>12</xdr:col>
                    <xdr:colOff>203200</xdr:colOff>
                    <xdr:row>32</xdr:row>
                    <xdr:rowOff>12700</xdr:rowOff>
                  </to>
                </anchor>
              </controlPr>
            </control>
          </mc:Choice>
        </mc:AlternateContent>
        <mc:AlternateContent xmlns:mc="http://schemas.openxmlformats.org/markup-compatibility/2006">
          <mc:Choice Requires="x14">
            <control shapeId="18672" r:id="rId171" name="Check Box 240">
              <controlPr defaultSize="0" autoFill="0" autoLine="0" autoPict="0">
                <anchor moveWithCells="1">
                  <from>
                    <xdr:col>12</xdr:col>
                    <xdr:colOff>0</xdr:colOff>
                    <xdr:row>31</xdr:row>
                    <xdr:rowOff>107950</xdr:rowOff>
                  </from>
                  <to>
                    <xdr:col>12</xdr:col>
                    <xdr:colOff>203200</xdr:colOff>
                    <xdr:row>33</xdr:row>
                    <xdr:rowOff>12700</xdr:rowOff>
                  </to>
                </anchor>
              </controlPr>
            </control>
          </mc:Choice>
        </mc:AlternateContent>
        <mc:AlternateContent xmlns:mc="http://schemas.openxmlformats.org/markup-compatibility/2006">
          <mc:Choice Requires="x14">
            <control shapeId="18673" r:id="rId172" name="Check Box 241">
              <controlPr defaultSize="0" autoFill="0" autoLine="0" autoPict="0">
                <anchor moveWithCells="1">
                  <from>
                    <xdr:col>12</xdr:col>
                    <xdr:colOff>0</xdr:colOff>
                    <xdr:row>32</xdr:row>
                    <xdr:rowOff>107950</xdr:rowOff>
                  </from>
                  <to>
                    <xdr:col>12</xdr:col>
                    <xdr:colOff>203200</xdr:colOff>
                    <xdr:row>34</xdr:row>
                    <xdr:rowOff>12700</xdr:rowOff>
                  </to>
                </anchor>
              </controlPr>
            </control>
          </mc:Choice>
        </mc:AlternateContent>
        <mc:AlternateContent xmlns:mc="http://schemas.openxmlformats.org/markup-compatibility/2006">
          <mc:Choice Requires="x14">
            <control shapeId="18674" r:id="rId173" name="Check Box 242">
              <controlPr defaultSize="0" autoFill="0" autoLine="0" autoPict="0">
                <anchor moveWithCells="1">
                  <from>
                    <xdr:col>12</xdr:col>
                    <xdr:colOff>0</xdr:colOff>
                    <xdr:row>33</xdr:row>
                    <xdr:rowOff>107950</xdr:rowOff>
                  </from>
                  <to>
                    <xdr:col>12</xdr:col>
                    <xdr:colOff>203200</xdr:colOff>
                    <xdr:row>35</xdr:row>
                    <xdr:rowOff>12700</xdr:rowOff>
                  </to>
                </anchor>
              </controlPr>
            </control>
          </mc:Choice>
        </mc:AlternateContent>
        <mc:AlternateContent xmlns:mc="http://schemas.openxmlformats.org/markup-compatibility/2006">
          <mc:Choice Requires="x14">
            <control shapeId="18675" r:id="rId174" name="Check Box 243">
              <controlPr defaultSize="0" autoFill="0" autoLine="0" autoPict="0">
                <anchor moveWithCells="1">
                  <from>
                    <xdr:col>12</xdr:col>
                    <xdr:colOff>0</xdr:colOff>
                    <xdr:row>34</xdr:row>
                    <xdr:rowOff>107950</xdr:rowOff>
                  </from>
                  <to>
                    <xdr:col>12</xdr:col>
                    <xdr:colOff>203200</xdr:colOff>
                    <xdr:row>36</xdr:row>
                    <xdr:rowOff>12700</xdr:rowOff>
                  </to>
                </anchor>
              </controlPr>
            </control>
          </mc:Choice>
        </mc:AlternateContent>
        <mc:AlternateContent xmlns:mc="http://schemas.openxmlformats.org/markup-compatibility/2006">
          <mc:Choice Requires="x14">
            <control shapeId="18676" r:id="rId175" name="Check Box 244">
              <controlPr defaultSize="0" autoFill="0" autoLine="0" autoPict="0">
                <anchor moveWithCells="1">
                  <from>
                    <xdr:col>12</xdr:col>
                    <xdr:colOff>0</xdr:colOff>
                    <xdr:row>35</xdr:row>
                    <xdr:rowOff>107950</xdr:rowOff>
                  </from>
                  <to>
                    <xdr:col>12</xdr:col>
                    <xdr:colOff>203200</xdr:colOff>
                    <xdr:row>37</xdr:row>
                    <xdr:rowOff>12700</xdr:rowOff>
                  </to>
                </anchor>
              </controlPr>
            </control>
          </mc:Choice>
        </mc:AlternateContent>
        <mc:AlternateContent xmlns:mc="http://schemas.openxmlformats.org/markup-compatibility/2006">
          <mc:Choice Requires="x14">
            <control shapeId="18677" r:id="rId176" name="Check Box 245">
              <controlPr defaultSize="0" autoFill="0" autoLine="0" autoPict="0">
                <anchor moveWithCells="1">
                  <from>
                    <xdr:col>12</xdr:col>
                    <xdr:colOff>0</xdr:colOff>
                    <xdr:row>36</xdr:row>
                    <xdr:rowOff>107950</xdr:rowOff>
                  </from>
                  <to>
                    <xdr:col>12</xdr:col>
                    <xdr:colOff>203200</xdr:colOff>
                    <xdr:row>38</xdr:row>
                    <xdr:rowOff>12700</xdr:rowOff>
                  </to>
                </anchor>
              </controlPr>
            </control>
          </mc:Choice>
        </mc:AlternateContent>
        <mc:AlternateContent xmlns:mc="http://schemas.openxmlformats.org/markup-compatibility/2006">
          <mc:Choice Requires="x14">
            <control shapeId="18678" r:id="rId177" name="Check Box 246">
              <controlPr defaultSize="0" autoFill="0" autoLine="0" autoPict="0">
                <anchor moveWithCells="1">
                  <from>
                    <xdr:col>12</xdr:col>
                    <xdr:colOff>0</xdr:colOff>
                    <xdr:row>37</xdr:row>
                    <xdr:rowOff>107950</xdr:rowOff>
                  </from>
                  <to>
                    <xdr:col>12</xdr:col>
                    <xdr:colOff>203200</xdr:colOff>
                    <xdr:row>39</xdr:row>
                    <xdr:rowOff>12700</xdr:rowOff>
                  </to>
                </anchor>
              </controlPr>
            </control>
          </mc:Choice>
        </mc:AlternateContent>
        <mc:AlternateContent xmlns:mc="http://schemas.openxmlformats.org/markup-compatibility/2006">
          <mc:Choice Requires="x14">
            <control shapeId="18679" r:id="rId178" name="Check Box 247">
              <controlPr defaultSize="0" autoFill="0" autoLine="0" autoPict="0">
                <anchor moveWithCells="1">
                  <from>
                    <xdr:col>12</xdr:col>
                    <xdr:colOff>0</xdr:colOff>
                    <xdr:row>38</xdr:row>
                    <xdr:rowOff>107950</xdr:rowOff>
                  </from>
                  <to>
                    <xdr:col>12</xdr:col>
                    <xdr:colOff>203200</xdr:colOff>
                    <xdr:row>40</xdr:row>
                    <xdr:rowOff>12700</xdr:rowOff>
                  </to>
                </anchor>
              </controlPr>
            </control>
          </mc:Choice>
        </mc:AlternateContent>
        <mc:AlternateContent xmlns:mc="http://schemas.openxmlformats.org/markup-compatibility/2006">
          <mc:Choice Requires="x14">
            <control shapeId="18680" r:id="rId179" name="Check Box 248">
              <controlPr defaultSize="0" autoFill="0" autoLine="0" autoPict="0">
                <anchor moveWithCells="1">
                  <from>
                    <xdr:col>12</xdr:col>
                    <xdr:colOff>0</xdr:colOff>
                    <xdr:row>39</xdr:row>
                    <xdr:rowOff>107950</xdr:rowOff>
                  </from>
                  <to>
                    <xdr:col>12</xdr:col>
                    <xdr:colOff>203200</xdr:colOff>
                    <xdr:row>41</xdr:row>
                    <xdr:rowOff>12700</xdr:rowOff>
                  </to>
                </anchor>
              </controlPr>
            </control>
          </mc:Choice>
        </mc:AlternateContent>
        <mc:AlternateContent xmlns:mc="http://schemas.openxmlformats.org/markup-compatibility/2006">
          <mc:Choice Requires="x14">
            <control shapeId="18681" r:id="rId180" name="Check Box 249">
              <controlPr defaultSize="0" autoFill="0" autoLine="0" autoPict="0">
                <anchor moveWithCells="1">
                  <from>
                    <xdr:col>12</xdr:col>
                    <xdr:colOff>0</xdr:colOff>
                    <xdr:row>41</xdr:row>
                    <xdr:rowOff>107950</xdr:rowOff>
                  </from>
                  <to>
                    <xdr:col>12</xdr:col>
                    <xdr:colOff>203200</xdr:colOff>
                    <xdr:row>43</xdr:row>
                    <xdr:rowOff>12700</xdr:rowOff>
                  </to>
                </anchor>
              </controlPr>
            </control>
          </mc:Choice>
        </mc:AlternateContent>
        <mc:AlternateContent xmlns:mc="http://schemas.openxmlformats.org/markup-compatibility/2006">
          <mc:Choice Requires="x14">
            <control shapeId="18682" r:id="rId181" name="Check Box 250">
              <controlPr defaultSize="0" autoFill="0" autoLine="0" autoPict="0">
                <anchor moveWithCells="1">
                  <from>
                    <xdr:col>12</xdr:col>
                    <xdr:colOff>0</xdr:colOff>
                    <xdr:row>40</xdr:row>
                    <xdr:rowOff>107950</xdr:rowOff>
                  </from>
                  <to>
                    <xdr:col>12</xdr:col>
                    <xdr:colOff>203200</xdr:colOff>
                    <xdr:row>42</xdr:row>
                    <xdr:rowOff>12700</xdr:rowOff>
                  </to>
                </anchor>
              </controlPr>
            </control>
          </mc:Choice>
        </mc:AlternateContent>
        <mc:AlternateContent xmlns:mc="http://schemas.openxmlformats.org/markup-compatibility/2006">
          <mc:Choice Requires="x14">
            <control shapeId="18683" r:id="rId182" name="Check Box 251">
              <controlPr defaultSize="0" autoFill="0" autoLine="0" autoPict="0">
                <anchor moveWithCells="1">
                  <from>
                    <xdr:col>12</xdr:col>
                    <xdr:colOff>0</xdr:colOff>
                    <xdr:row>42</xdr:row>
                    <xdr:rowOff>107950</xdr:rowOff>
                  </from>
                  <to>
                    <xdr:col>12</xdr:col>
                    <xdr:colOff>203200</xdr:colOff>
                    <xdr:row>44</xdr:row>
                    <xdr:rowOff>12700</xdr:rowOff>
                  </to>
                </anchor>
              </controlPr>
            </control>
          </mc:Choice>
        </mc:AlternateContent>
        <mc:AlternateContent xmlns:mc="http://schemas.openxmlformats.org/markup-compatibility/2006">
          <mc:Choice Requires="x14">
            <control shapeId="18684" r:id="rId183" name="Check Box 252">
              <controlPr defaultSize="0" autoFill="0" autoLine="0" autoPict="0">
                <anchor moveWithCells="1">
                  <from>
                    <xdr:col>12</xdr:col>
                    <xdr:colOff>0</xdr:colOff>
                    <xdr:row>43</xdr:row>
                    <xdr:rowOff>107950</xdr:rowOff>
                  </from>
                  <to>
                    <xdr:col>12</xdr:col>
                    <xdr:colOff>203200</xdr:colOff>
                    <xdr:row>45</xdr:row>
                    <xdr:rowOff>12700</xdr:rowOff>
                  </to>
                </anchor>
              </controlPr>
            </control>
          </mc:Choice>
        </mc:AlternateContent>
        <mc:AlternateContent xmlns:mc="http://schemas.openxmlformats.org/markup-compatibility/2006">
          <mc:Choice Requires="x14">
            <control shapeId="18685" r:id="rId184" name="Check Box 253">
              <controlPr defaultSize="0" autoFill="0" autoLine="0" autoPict="0">
                <anchor moveWithCells="1">
                  <from>
                    <xdr:col>12</xdr:col>
                    <xdr:colOff>0</xdr:colOff>
                    <xdr:row>44</xdr:row>
                    <xdr:rowOff>107950</xdr:rowOff>
                  </from>
                  <to>
                    <xdr:col>12</xdr:col>
                    <xdr:colOff>203200</xdr:colOff>
                    <xdr:row>46</xdr:row>
                    <xdr:rowOff>12700</xdr:rowOff>
                  </to>
                </anchor>
              </controlPr>
            </control>
          </mc:Choice>
        </mc:AlternateContent>
        <mc:AlternateContent xmlns:mc="http://schemas.openxmlformats.org/markup-compatibility/2006">
          <mc:Choice Requires="x14">
            <control shapeId="18687" r:id="rId185" name="Check Box 255">
              <controlPr defaultSize="0" autoFill="0" autoLine="0" autoPict="0">
                <anchor moveWithCells="1">
                  <from>
                    <xdr:col>17</xdr:col>
                    <xdr:colOff>0</xdr:colOff>
                    <xdr:row>5</xdr:row>
                    <xdr:rowOff>107950</xdr:rowOff>
                  </from>
                  <to>
                    <xdr:col>17</xdr:col>
                    <xdr:colOff>203200</xdr:colOff>
                    <xdr:row>7</xdr:row>
                    <xdr:rowOff>12700</xdr:rowOff>
                  </to>
                </anchor>
              </controlPr>
            </control>
          </mc:Choice>
        </mc:AlternateContent>
        <mc:AlternateContent xmlns:mc="http://schemas.openxmlformats.org/markup-compatibility/2006">
          <mc:Choice Requires="x14">
            <control shapeId="18688" r:id="rId186" name="Check Box 256">
              <controlPr defaultSize="0" autoFill="0" autoLine="0" autoPict="0">
                <anchor moveWithCells="1">
                  <from>
                    <xdr:col>17</xdr:col>
                    <xdr:colOff>0</xdr:colOff>
                    <xdr:row>6</xdr:row>
                    <xdr:rowOff>107950</xdr:rowOff>
                  </from>
                  <to>
                    <xdr:col>17</xdr:col>
                    <xdr:colOff>203200</xdr:colOff>
                    <xdr:row>8</xdr:row>
                    <xdr:rowOff>12700</xdr:rowOff>
                  </to>
                </anchor>
              </controlPr>
            </control>
          </mc:Choice>
        </mc:AlternateContent>
        <mc:AlternateContent xmlns:mc="http://schemas.openxmlformats.org/markup-compatibility/2006">
          <mc:Choice Requires="x14">
            <control shapeId="18689" r:id="rId187" name="Check Box 257">
              <controlPr defaultSize="0" autoFill="0" autoLine="0" autoPict="0">
                <anchor moveWithCells="1">
                  <from>
                    <xdr:col>17</xdr:col>
                    <xdr:colOff>0</xdr:colOff>
                    <xdr:row>7</xdr:row>
                    <xdr:rowOff>107950</xdr:rowOff>
                  </from>
                  <to>
                    <xdr:col>17</xdr:col>
                    <xdr:colOff>203200</xdr:colOff>
                    <xdr:row>9</xdr:row>
                    <xdr:rowOff>12700</xdr:rowOff>
                  </to>
                </anchor>
              </controlPr>
            </control>
          </mc:Choice>
        </mc:AlternateContent>
        <mc:AlternateContent xmlns:mc="http://schemas.openxmlformats.org/markup-compatibility/2006">
          <mc:Choice Requires="x14">
            <control shapeId="18690" r:id="rId188" name="Check Box 258">
              <controlPr defaultSize="0" autoFill="0" autoLine="0" autoPict="0">
                <anchor moveWithCells="1">
                  <from>
                    <xdr:col>17</xdr:col>
                    <xdr:colOff>0</xdr:colOff>
                    <xdr:row>8</xdr:row>
                    <xdr:rowOff>107950</xdr:rowOff>
                  </from>
                  <to>
                    <xdr:col>17</xdr:col>
                    <xdr:colOff>203200</xdr:colOff>
                    <xdr:row>10</xdr:row>
                    <xdr:rowOff>12700</xdr:rowOff>
                  </to>
                </anchor>
              </controlPr>
            </control>
          </mc:Choice>
        </mc:AlternateContent>
        <mc:AlternateContent xmlns:mc="http://schemas.openxmlformats.org/markup-compatibility/2006">
          <mc:Choice Requires="x14">
            <control shapeId="18691" r:id="rId189" name="Check Box 259">
              <controlPr defaultSize="0" autoFill="0" autoLine="0" autoPict="0">
                <anchor moveWithCells="1">
                  <from>
                    <xdr:col>17</xdr:col>
                    <xdr:colOff>0</xdr:colOff>
                    <xdr:row>9</xdr:row>
                    <xdr:rowOff>107950</xdr:rowOff>
                  </from>
                  <to>
                    <xdr:col>17</xdr:col>
                    <xdr:colOff>203200</xdr:colOff>
                    <xdr:row>11</xdr:row>
                    <xdr:rowOff>12700</xdr:rowOff>
                  </to>
                </anchor>
              </controlPr>
            </control>
          </mc:Choice>
        </mc:AlternateContent>
        <mc:AlternateContent xmlns:mc="http://schemas.openxmlformats.org/markup-compatibility/2006">
          <mc:Choice Requires="x14">
            <control shapeId="18692" r:id="rId190" name="Check Box 260">
              <controlPr defaultSize="0" autoFill="0" autoLine="0" autoPict="0">
                <anchor moveWithCells="1">
                  <from>
                    <xdr:col>17</xdr:col>
                    <xdr:colOff>0</xdr:colOff>
                    <xdr:row>10</xdr:row>
                    <xdr:rowOff>107950</xdr:rowOff>
                  </from>
                  <to>
                    <xdr:col>17</xdr:col>
                    <xdr:colOff>203200</xdr:colOff>
                    <xdr:row>12</xdr:row>
                    <xdr:rowOff>12700</xdr:rowOff>
                  </to>
                </anchor>
              </controlPr>
            </control>
          </mc:Choice>
        </mc:AlternateContent>
        <mc:AlternateContent xmlns:mc="http://schemas.openxmlformats.org/markup-compatibility/2006">
          <mc:Choice Requires="x14">
            <control shapeId="18693" r:id="rId191" name="Check Box 261">
              <controlPr defaultSize="0" autoFill="0" autoLine="0" autoPict="0">
                <anchor moveWithCells="1">
                  <from>
                    <xdr:col>17</xdr:col>
                    <xdr:colOff>0</xdr:colOff>
                    <xdr:row>11</xdr:row>
                    <xdr:rowOff>107950</xdr:rowOff>
                  </from>
                  <to>
                    <xdr:col>17</xdr:col>
                    <xdr:colOff>203200</xdr:colOff>
                    <xdr:row>13</xdr:row>
                    <xdr:rowOff>12700</xdr:rowOff>
                  </to>
                </anchor>
              </controlPr>
            </control>
          </mc:Choice>
        </mc:AlternateContent>
        <mc:AlternateContent xmlns:mc="http://schemas.openxmlformats.org/markup-compatibility/2006">
          <mc:Choice Requires="x14">
            <control shapeId="18694" r:id="rId192" name="Check Box 262">
              <controlPr defaultSize="0" autoFill="0" autoLine="0" autoPict="0">
                <anchor moveWithCells="1">
                  <from>
                    <xdr:col>17</xdr:col>
                    <xdr:colOff>0</xdr:colOff>
                    <xdr:row>12</xdr:row>
                    <xdr:rowOff>107950</xdr:rowOff>
                  </from>
                  <to>
                    <xdr:col>17</xdr:col>
                    <xdr:colOff>203200</xdr:colOff>
                    <xdr:row>14</xdr:row>
                    <xdr:rowOff>12700</xdr:rowOff>
                  </to>
                </anchor>
              </controlPr>
            </control>
          </mc:Choice>
        </mc:AlternateContent>
        <mc:AlternateContent xmlns:mc="http://schemas.openxmlformats.org/markup-compatibility/2006">
          <mc:Choice Requires="x14">
            <control shapeId="18695" r:id="rId193" name="Check Box 263">
              <controlPr defaultSize="0" autoFill="0" autoLine="0" autoPict="0">
                <anchor moveWithCells="1">
                  <from>
                    <xdr:col>17</xdr:col>
                    <xdr:colOff>0</xdr:colOff>
                    <xdr:row>13</xdr:row>
                    <xdr:rowOff>107950</xdr:rowOff>
                  </from>
                  <to>
                    <xdr:col>17</xdr:col>
                    <xdr:colOff>203200</xdr:colOff>
                    <xdr:row>15</xdr:row>
                    <xdr:rowOff>12700</xdr:rowOff>
                  </to>
                </anchor>
              </controlPr>
            </control>
          </mc:Choice>
        </mc:AlternateContent>
        <mc:AlternateContent xmlns:mc="http://schemas.openxmlformats.org/markup-compatibility/2006">
          <mc:Choice Requires="x14">
            <control shapeId="18696" r:id="rId194" name="Check Box 264">
              <controlPr defaultSize="0" autoFill="0" autoLine="0" autoPict="0">
                <anchor moveWithCells="1">
                  <from>
                    <xdr:col>17</xdr:col>
                    <xdr:colOff>0</xdr:colOff>
                    <xdr:row>14</xdr:row>
                    <xdr:rowOff>107950</xdr:rowOff>
                  </from>
                  <to>
                    <xdr:col>17</xdr:col>
                    <xdr:colOff>203200</xdr:colOff>
                    <xdr:row>16</xdr:row>
                    <xdr:rowOff>12700</xdr:rowOff>
                  </to>
                </anchor>
              </controlPr>
            </control>
          </mc:Choice>
        </mc:AlternateContent>
        <mc:AlternateContent xmlns:mc="http://schemas.openxmlformats.org/markup-compatibility/2006">
          <mc:Choice Requires="x14">
            <control shapeId="18698" r:id="rId195" name="Check Box 266">
              <controlPr defaultSize="0" autoFill="0" autoLine="0" autoPict="0">
                <anchor moveWithCells="1">
                  <from>
                    <xdr:col>22</xdr:col>
                    <xdr:colOff>0</xdr:colOff>
                    <xdr:row>5</xdr:row>
                    <xdr:rowOff>107950</xdr:rowOff>
                  </from>
                  <to>
                    <xdr:col>22</xdr:col>
                    <xdr:colOff>203200</xdr:colOff>
                    <xdr:row>7</xdr:row>
                    <xdr:rowOff>12700</xdr:rowOff>
                  </to>
                </anchor>
              </controlPr>
            </control>
          </mc:Choice>
        </mc:AlternateContent>
        <mc:AlternateContent xmlns:mc="http://schemas.openxmlformats.org/markup-compatibility/2006">
          <mc:Choice Requires="x14">
            <control shapeId="18700" r:id="rId196" name="Check Box 268">
              <controlPr defaultSize="0" autoFill="0" autoLine="0" autoPict="0">
                <anchor moveWithCells="1">
                  <from>
                    <xdr:col>22</xdr:col>
                    <xdr:colOff>0</xdr:colOff>
                    <xdr:row>6</xdr:row>
                    <xdr:rowOff>107950</xdr:rowOff>
                  </from>
                  <to>
                    <xdr:col>22</xdr:col>
                    <xdr:colOff>203200</xdr:colOff>
                    <xdr:row>8</xdr:row>
                    <xdr:rowOff>12700</xdr:rowOff>
                  </to>
                </anchor>
              </controlPr>
            </control>
          </mc:Choice>
        </mc:AlternateContent>
        <mc:AlternateContent xmlns:mc="http://schemas.openxmlformats.org/markup-compatibility/2006">
          <mc:Choice Requires="x14">
            <control shapeId="18701" r:id="rId197" name="Check Box 269">
              <controlPr defaultSize="0" autoFill="0" autoLine="0" autoPict="0">
                <anchor moveWithCells="1">
                  <from>
                    <xdr:col>22</xdr:col>
                    <xdr:colOff>0</xdr:colOff>
                    <xdr:row>7</xdr:row>
                    <xdr:rowOff>107950</xdr:rowOff>
                  </from>
                  <to>
                    <xdr:col>22</xdr:col>
                    <xdr:colOff>203200</xdr:colOff>
                    <xdr:row>9</xdr:row>
                    <xdr:rowOff>12700</xdr:rowOff>
                  </to>
                </anchor>
              </controlPr>
            </control>
          </mc:Choice>
        </mc:AlternateContent>
        <mc:AlternateContent xmlns:mc="http://schemas.openxmlformats.org/markup-compatibility/2006">
          <mc:Choice Requires="x14">
            <control shapeId="18702" r:id="rId198" name="Check Box 270">
              <controlPr defaultSize="0" autoFill="0" autoLine="0" autoPict="0">
                <anchor moveWithCells="1">
                  <from>
                    <xdr:col>22</xdr:col>
                    <xdr:colOff>0</xdr:colOff>
                    <xdr:row>8</xdr:row>
                    <xdr:rowOff>107950</xdr:rowOff>
                  </from>
                  <to>
                    <xdr:col>22</xdr:col>
                    <xdr:colOff>203200</xdr:colOff>
                    <xdr:row>10</xdr:row>
                    <xdr:rowOff>12700</xdr:rowOff>
                  </to>
                </anchor>
              </controlPr>
            </control>
          </mc:Choice>
        </mc:AlternateContent>
        <mc:AlternateContent xmlns:mc="http://schemas.openxmlformats.org/markup-compatibility/2006">
          <mc:Choice Requires="x14">
            <control shapeId="18703" r:id="rId199" name="Check Box 271">
              <controlPr defaultSize="0" autoFill="0" autoLine="0" autoPict="0">
                <anchor moveWithCells="1">
                  <from>
                    <xdr:col>22</xdr:col>
                    <xdr:colOff>0</xdr:colOff>
                    <xdr:row>9</xdr:row>
                    <xdr:rowOff>107950</xdr:rowOff>
                  </from>
                  <to>
                    <xdr:col>22</xdr:col>
                    <xdr:colOff>203200</xdr:colOff>
                    <xdr:row>11</xdr:row>
                    <xdr:rowOff>12700</xdr:rowOff>
                  </to>
                </anchor>
              </controlPr>
            </control>
          </mc:Choice>
        </mc:AlternateContent>
        <mc:AlternateContent xmlns:mc="http://schemas.openxmlformats.org/markup-compatibility/2006">
          <mc:Choice Requires="x14">
            <control shapeId="18704" r:id="rId200" name="Check Box 272">
              <controlPr defaultSize="0" autoFill="0" autoLine="0" autoPict="0">
                <anchor moveWithCells="1">
                  <from>
                    <xdr:col>22</xdr:col>
                    <xdr:colOff>0</xdr:colOff>
                    <xdr:row>10</xdr:row>
                    <xdr:rowOff>107950</xdr:rowOff>
                  </from>
                  <to>
                    <xdr:col>22</xdr:col>
                    <xdr:colOff>203200</xdr:colOff>
                    <xdr:row>12</xdr:row>
                    <xdr:rowOff>12700</xdr:rowOff>
                  </to>
                </anchor>
              </controlPr>
            </control>
          </mc:Choice>
        </mc:AlternateContent>
        <mc:AlternateContent xmlns:mc="http://schemas.openxmlformats.org/markup-compatibility/2006">
          <mc:Choice Requires="x14">
            <control shapeId="18705" r:id="rId201" name="Check Box 273">
              <controlPr defaultSize="0" autoFill="0" autoLine="0" autoPict="0">
                <anchor moveWithCells="1">
                  <from>
                    <xdr:col>22</xdr:col>
                    <xdr:colOff>0</xdr:colOff>
                    <xdr:row>11</xdr:row>
                    <xdr:rowOff>107950</xdr:rowOff>
                  </from>
                  <to>
                    <xdr:col>22</xdr:col>
                    <xdr:colOff>203200</xdr:colOff>
                    <xdr:row>13</xdr:row>
                    <xdr:rowOff>12700</xdr:rowOff>
                  </to>
                </anchor>
              </controlPr>
            </control>
          </mc:Choice>
        </mc:AlternateContent>
        <mc:AlternateContent xmlns:mc="http://schemas.openxmlformats.org/markup-compatibility/2006">
          <mc:Choice Requires="x14">
            <control shapeId="18706" r:id="rId202" name="Check Box 274">
              <controlPr defaultSize="0" autoFill="0" autoLine="0" autoPict="0">
                <anchor moveWithCells="1">
                  <from>
                    <xdr:col>22</xdr:col>
                    <xdr:colOff>0</xdr:colOff>
                    <xdr:row>12</xdr:row>
                    <xdr:rowOff>107950</xdr:rowOff>
                  </from>
                  <to>
                    <xdr:col>22</xdr:col>
                    <xdr:colOff>203200</xdr:colOff>
                    <xdr:row>14</xdr:row>
                    <xdr:rowOff>12700</xdr:rowOff>
                  </to>
                </anchor>
              </controlPr>
            </control>
          </mc:Choice>
        </mc:AlternateContent>
        <mc:AlternateContent xmlns:mc="http://schemas.openxmlformats.org/markup-compatibility/2006">
          <mc:Choice Requires="x14">
            <control shapeId="18707" r:id="rId203" name="Check Box 275">
              <controlPr defaultSize="0" autoFill="0" autoLine="0" autoPict="0">
                <anchor moveWithCells="1">
                  <from>
                    <xdr:col>22</xdr:col>
                    <xdr:colOff>0</xdr:colOff>
                    <xdr:row>13</xdr:row>
                    <xdr:rowOff>107950</xdr:rowOff>
                  </from>
                  <to>
                    <xdr:col>22</xdr:col>
                    <xdr:colOff>203200</xdr:colOff>
                    <xdr:row>15</xdr:row>
                    <xdr:rowOff>12700</xdr:rowOff>
                  </to>
                </anchor>
              </controlPr>
            </control>
          </mc:Choice>
        </mc:AlternateContent>
        <mc:AlternateContent xmlns:mc="http://schemas.openxmlformats.org/markup-compatibility/2006">
          <mc:Choice Requires="x14">
            <control shapeId="18708" r:id="rId204" name="Check Box 276">
              <controlPr defaultSize="0" autoFill="0" autoLine="0" autoPict="0">
                <anchor moveWithCells="1">
                  <from>
                    <xdr:col>22</xdr:col>
                    <xdr:colOff>0</xdr:colOff>
                    <xdr:row>14</xdr:row>
                    <xdr:rowOff>107950</xdr:rowOff>
                  </from>
                  <to>
                    <xdr:col>22</xdr:col>
                    <xdr:colOff>203200</xdr:colOff>
                    <xdr:row>16</xdr:row>
                    <xdr:rowOff>12700</xdr:rowOff>
                  </to>
                </anchor>
              </controlPr>
            </control>
          </mc:Choice>
        </mc:AlternateContent>
        <mc:AlternateContent xmlns:mc="http://schemas.openxmlformats.org/markup-compatibility/2006">
          <mc:Choice Requires="x14">
            <control shapeId="18709" r:id="rId205" name="Check Box 277">
              <controlPr defaultSize="0" autoFill="0" autoLine="0" autoPict="0">
                <anchor moveWithCells="1">
                  <from>
                    <xdr:col>22</xdr:col>
                    <xdr:colOff>0</xdr:colOff>
                    <xdr:row>15</xdr:row>
                    <xdr:rowOff>107950</xdr:rowOff>
                  </from>
                  <to>
                    <xdr:col>22</xdr:col>
                    <xdr:colOff>203200</xdr:colOff>
                    <xdr:row>17</xdr:row>
                    <xdr:rowOff>12700</xdr:rowOff>
                  </to>
                </anchor>
              </controlPr>
            </control>
          </mc:Choice>
        </mc:AlternateContent>
        <mc:AlternateContent xmlns:mc="http://schemas.openxmlformats.org/markup-compatibility/2006">
          <mc:Choice Requires="x14">
            <control shapeId="18710" r:id="rId206" name="Check Box 278">
              <controlPr defaultSize="0" autoFill="0" autoLine="0" autoPict="0">
                <anchor moveWithCells="1">
                  <from>
                    <xdr:col>22</xdr:col>
                    <xdr:colOff>0</xdr:colOff>
                    <xdr:row>16</xdr:row>
                    <xdr:rowOff>107950</xdr:rowOff>
                  </from>
                  <to>
                    <xdr:col>22</xdr:col>
                    <xdr:colOff>203200</xdr:colOff>
                    <xdr:row>18</xdr:row>
                    <xdr:rowOff>12700</xdr:rowOff>
                  </to>
                </anchor>
              </controlPr>
            </control>
          </mc:Choice>
        </mc:AlternateContent>
        <mc:AlternateContent xmlns:mc="http://schemas.openxmlformats.org/markup-compatibility/2006">
          <mc:Choice Requires="x14">
            <control shapeId="18711" r:id="rId207" name="Check Box 279">
              <controlPr defaultSize="0" autoFill="0" autoLine="0" autoPict="0">
                <anchor moveWithCells="1">
                  <from>
                    <xdr:col>22</xdr:col>
                    <xdr:colOff>0</xdr:colOff>
                    <xdr:row>17</xdr:row>
                    <xdr:rowOff>107950</xdr:rowOff>
                  </from>
                  <to>
                    <xdr:col>22</xdr:col>
                    <xdr:colOff>203200</xdr:colOff>
                    <xdr:row>19</xdr:row>
                    <xdr:rowOff>12700</xdr:rowOff>
                  </to>
                </anchor>
              </controlPr>
            </control>
          </mc:Choice>
        </mc:AlternateContent>
        <mc:AlternateContent xmlns:mc="http://schemas.openxmlformats.org/markup-compatibility/2006">
          <mc:Choice Requires="x14">
            <control shapeId="18712" r:id="rId208" name="Check Box 280">
              <controlPr defaultSize="0" autoFill="0" autoLine="0" autoPict="0">
                <anchor moveWithCells="1">
                  <from>
                    <xdr:col>22</xdr:col>
                    <xdr:colOff>0</xdr:colOff>
                    <xdr:row>18</xdr:row>
                    <xdr:rowOff>107950</xdr:rowOff>
                  </from>
                  <to>
                    <xdr:col>22</xdr:col>
                    <xdr:colOff>203200</xdr:colOff>
                    <xdr:row>20</xdr:row>
                    <xdr:rowOff>12700</xdr:rowOff>
                  </to>
                </anchor>
              </controlPr>
            </control>
          </mc:Choice>
        </mc:AlternateContent>
        <mc:AlternateContent xmlns:mc="http://schemas.openxmlformats.org/markup-compatibility/2006">
          <mc:Choice Requires="x14">
            <control shapeId="18713" r:id="rId209" name="Check Box 281">
              <controlPr defaultSize="0" autoFill="0" autoLine="0" autoPict="0">
                <anchor moveWithCells="1">
                  <from>
                    <xdr:col>22</xdr:col>
                    <xdr:colOff>0</xdr:colOff>
                    <xdr:row>19</xdr:row>
                    <xdr:rowOff>107950</xdr:rowOff>
                  </from>
                  <to>
                    <xdr:col>22</xdr:col>
                    <xdr:colOff>203200</xdr:colOff>
                    <xdr:row>21</xdr:row>
                    <xdr:rowOff>12700</xdr:rowOff>
                  </to>
                </anchor>
              </controlPr>
            </control>
          </mc:Choice>
        </mc:AlternateContent>
        <mc:AlternateContent xmlns:mc="http://schemas.openxmlformats.org/markup-compatibility/2006">
          <mc:Choice Requires="x14">
            <control shapeId="18714" r:id="rId210" name="Check Box 282">
              <controlPr defaultSize="0" autoFill="0" autoLine="0" autoPict="0">
                <anchor moveWithCells="1">
                  <from>
                    <xdr:col>22</xdr:col>
                    <xdr:colOff>0</xdr:colOff>
                    <xdr:row>20</xdr:row>
                    <xdr:rowOff>107950</xdr:rowOff>
                  </from>
                  <to>
                    <xdr:col>22</xdr:col>
                    <xdr:colOff>203200</xdr:colOff>
                    <xdr:row>22</xdr:row>
                    <xdr:rowOff>12700</xdr:rowOff>
                  </to>
                </anchor>
              </controlPr>
            </control>
          </mc:Choice>
        </mc:AlternateContent>
        <mc:AlternateContent xmlns:mc="http://schemas.openxmlformats.org/markup-compatibility/2006">
          <mc:Choice Requires="x14">
            <control shapeId="18715" r:id="rId211" name="Check Box 283">
              <controlPr defaultSize="0" autoFill="0" autoLine="0" autoPict="0">
                <anchor moveWithCells="1">
                  <from>
                    <xdr:col>22</xdr:col>
                    <xdr:colOff>0</xdr:colOff>
                    <xdr:row>21</xdr:row>
                    <xdr:rowOff>107950</xdr:rowOff>
                  </from>
                  <to>
                    <xdr:col>22</xdr:col>
                    <xdr:colOff>203200</xdr:colOff>
                    <xdr:row>23</xdr:row>
                    <xdr:rowOff>12700</xdr:rowOff>
                  </to>
                </anchor>
              </controlPr>
            </control>
          </mc:Choice>
        </mc:AlternateContent>
        <mc:AlternateContent xmlns:mc="http://schemas.openxmlformats.org/markup-compatibility/2006">
          <mc:Choice Requires="x14">
            <control shapeId="18716" r:id="rId212" name="Check Box 284">
              <controlPr defaultSize="0" autoFill="0" autoLine="0" autoPict="0">
                <anchor moveWithCells="1">
                  <from>
                    <xdr:col>22</xdr:col>
                    <xdr:colOff>0</xdr:colOff>
                    <xdr:row>22</xdr:row>
                    <xdr:rowOff>107950</xdr:rowOff>
                  </from>
                  <to>
                    <xdr:col>22</xdr:col>
                    <xdr:colOff>203200</xdr:colOff>
                    <xdr:row>24</xdr:row>
                    <xdr:rowOff>12700</xdr:rowOff>
                  </to>
                </anchor>
              </controlPr>
            </control>
          </mc:Choice>
        </mc:AlternateContent>
        <mc:AlternateContent xmlns:mc="http://schemas.openxmlformats.org/markup-compatibility/2006">
          <mc:Choice Requires="x14">
            <control shapeId="18717" r:id="rId213" name="Check Box 285">
              <controlPr defaultSize="0" autoFill="0" autoLine="0" autoPict="0">
                <anchor moveWithCells="1">
                  <from>
                    <xdr:col>22</xdr:col>
                    <xdr:colOff>0</xdr:colOff>
                    <xdr:row>23</xdr:row>
                    <xdr:rowOff>107950</xdr:rowOff>
                  </from>
                  <to>
                    <xdr:col>22</xdr:col>
                    <xdr:colOff>203200</xdr:colOff>
                    <xdr:row>25</xdr:row>
                    <xdr:rowOff>12700</xdr:rowOff>
                  </to>
                </anchor>
              </controlPr>
            </control>
          </mc:Choice>
        </mc:AlternateContent>
        <mc:AlternateContent xmlns:mc="http://schemas.openxmlformats.org/markup-compatibility/2006">
          <mc:Choice Requires="x14">
            <control shapeId="18718" r:id="rId214" name="Check Box 286">
              <controlPr defaultSize="0" autoFill="0" autoLine="0" autoPict="0">
                <anchor moveWithCells="1">
                  <from>
                    <xdr:col>22</xdr:col>
                    <xdr:colOff>0</xdr:colOff>
                    <xdr:row>24</xdr:row>
                    <xdr:rowOff>107950</xdr:rowOff>
                  </from>
                  <to>
                    <xdr:col>22</xdr:col>
                    <xdr:colOff>203200</xdr:colOff>
                    <xdr:row>26</xdr:row>
                    <xdr:rowOff>12700</xdr:rowOff>
                  </to>
                </anchor>
              </controlPr>
            </control>
          </mc:Choice>
        </mc:AlternateContent>
        <mc:AlternateContent xmlns:mc="http://schemas.openxmlformats.org/markup-compatibility/2006">
          <mc:Choice Requires="x14">
            <control shapeId="18719" r:id="rId215" name="Check Box 287">
              <controlPr defaultSize="0" autoFill="0" autoLine="0" autoPict="0">
                <anchor moveWithCells="1">
                  <from>
                    <xdr:col>22</xdr:col>
                    <xdr:colOff>0</xdr:colOff>
                    <xdr:row>25</xdr:row>
                    <xdr:rowOff>107950</xdr:rowOff>
                  </from>
                  <to>
                    <xdr:col>22</xdr:col>
                    <xdr:colOff>203200</xdr:colOff>
                    <xdr:row>27</xdr:row>
                    <xdr:rowOff>12700</xdr:rowOff>
                  </to>
                </anchor>
              </controlPr>
            </control>
          </mc:Choice>
        </mc:AlternateContent>
        <mc:AlternateContent xmlns:mc="http://schemas.openxmlformats.org/markup-compatibility/2006">
          <mc:Choice Requires="x14">
            <control shapeId="18720" r:id="rId216" name="Check Box 288">
              <controlPr defaultSize="0" autoFill="0" autoLine="0" autoPict="0">
                <anchor moveWithCells="1">
                  <from>
                    <xdr:col>22</xdr:col>
                    <xdr:colOff>0</xdr:colOff>
                    <xdr:row>26</xdr:row>
                    <xdr:rowOff>107950</xdr:rowOff>
                  </from>
                  <to>
                    <xdr:col>22</xdr:col>
                    <xdr:colOff>203200</xdr:colOff>
                    <xdr:row>28</xdr:row>
                    <xdr:rowOff>12700</xdr:rowOff>
                  </to>
                </anchor>
              </controlPr>
            </control>
          </mc:Choice>
        </mc:AlternateContent>
        <mc:AlternateContent xmlns:mc="http://schemas.openxmlformats.org/markup-compatibility/2006">
          <mc:Choice Requires="x14">
            <control shapeId="18721" r:id="rId217" name="Check Box 289">
              <controlPr defaultSize="0" autoFill="0" autoLine="0" autoPict="0">
                <anchor moveWithCells="1">
                  <from>
                    <xdr:col>22</xdr:col>
                    <xdr:colOff>0</xdr:colOff>
                    <xdr:row>27</xdr:row>
                    <xdr:rowOff>107950</xdr:rowOff>
                  </from>
                  <to>
                    <xdr:col>22</xdr:col>
                    <xdr:colOff>203200</xdr:colOff>
                    <xdr:row>29</xdr:row>
                    <xdr:rowOff>12700</xdr:rowOff>
                  </to>
                </anchor>
              </controlPr>
            </control>
          </mc:Choice>
        </mc:AlternateContent>
        <mc:AlternateContent xmlns:mc="http://schemas.openxmlformats.org/markup-compatibility/2006">
          <mc:Choice Requires="x14">
            <control shapeId="18722" r:id="rId218" name="Check Box 290">
              <controlPr defaultSize="0" autoFill="0" autoLine="0" autoPict="0">
                <anchor moveWithCells="1">
                  <from>
                    <xdr:col>22</xdr:col>
                    <xdr:colOff>0</xdr:colOff>
                    <xdr:row>28</xdr:row>
                    <xdr:rowOff>107950</xdr:rowOff>
                  </from>
                  <to>
                    <xdr:col>22</xdr:col>
                    <xdr:colOff>203200</xdr:colOff>
                    <xdr:row>30</xdr:row>
                    <xdr:rowOff>12700</xdr:rowOff>
                  </to>
                </anchor>
              </controlPr>
            </control>
          </mc:Choice>
        </mc:AlternateContent>
        <mc:AlternateContent xmlns:mc="http://schemas.openxmlformats.org/markup-compatibility/2006">
          <mc:Choice Requires="x14">
            <control shapeId="18723" r:id="rId219" name="Check Box 291">
              <controlPr defaultSize="0" autoFill="0" autoLine="0" autoPict="0">
                <anchor moveWithCells="1">
                  <from>
                    <xdr:col>22</xdr:col>
                    <xdr:colOff>0</xdr:colOff>
                    <xdr:row>29</xdr:row>
                    <xdr:rowOff>107950</xdr:rowOff>
                  </from>
                  <to>
                    <xdr:col>22</xdr:col>
                    <xdr:colOff>203200</xdr:colOff>
                    <xdr:row>31</xdr:row>
                    <xdr:rowOff>12700</xdr:rowOff>
                  </to>
                </anchor>
              </controlPr>
            </control>
          </mc:Choice>
        </mc:AlternateContent>
        <mc:AlternateContent xmlns:mc="http://schemas.openxmlformats.org/markup-compatibility/2006">
          <mc:Choice Requires="x14">
            <control shapeId="18724" r:id="rId220" name="Check Box 292">
              <controlPr defaultSize="0" autoFill="0" autoLine="0" autoPict="0">
                <anchor moveWithCells="1">
                  <from>
                    <xdr:col>22</xdr:col>
                    <xdr:colOff>0</xdr:colOff>
                    <xdr:row>30</xdr:row>
                    <xdr:rowOff>107950</xdr:rowOff>
                  </from>
                  <to>
                    <xdr:col>22</xdr:col>
                    <xdr:colOff>203200</xdr:colOff>
                    <xdr:row>32</xdr:row>
                    <xdr:rowOff>12700</xdr:rowOff>
                  </to>
                </anchor>
              </controlPr>
            </control>
          </mc:Choice>
        </mc:AlternateContent>
        <mc:AlternateContent xmlns:mc="http://schemas.openxmlformats.org/markup-compatibility/2006">
          <mc:Choice Requires="x14">
            <control shapeId="18725" r:id="rId221" name="Check Box 293">
              <controlPr defaultSize="0" autoFill="0" autoLine="0" autoPict="0">
                <anchor moveWithCells="1">
                  <from>
                    <xdr:col>22</xdr:col>
                    <xdr:colOff>0</xdr:colOff>
                    <xdr:row>31</xdr:row>
                    <xdr:rowOff>107950</xdr:rowOff>
                  </from>
                  <to>
                    <xdr:col>22</xdr:col>
                    <xdr:colOff>203200</xdr:colOff>
                    <xdr:row>33</xdr:row>
                    <xdr:rowOff>12700</xdr:rowOff>
                  </to>
                </anchor>
              </controlPr>
            </control>
          </mc:Choice>
        </mc:AlternateContent>
        <mc:AlternateContent xmlns:mc="http://schemas.openxmlformats.org/markup-compatibility/2006">
          <mc:Choice Requires="x14">
            <control shapeId="18726" r:id="rId222" name="Check Box 294">
              <controlPr defaultSize="0" autoFill="0" autoLine="0" autoPict="0">
                <anchor moveWithCells="1">
                  <from>
                    <xdr:col>22</xdr:col>
                    <xdr:colOff>0</xdr:colOff>
                    <xdr:row>32</xdr:row>
                    <xdr:rowOff>107950</xdr:rowOff>
                  </from>
                  <to>
                    <xdr:col>22</xdr:col>
                    <xdr:colOff>203200</xdr:colOff>
                    <xdr:row>34</xdr:row>
                    <xdr:rowOff>12700</xdr:rowOff>
                  </to>
                </anchor>
              </controlPr>
            </control>
          </mc:Choice>
        </mc:AlternateContent>
        <mc:AlternateContent xmlns:mc="http://schemas.openxmlformats.org/markup-compatibility/2006">
          <mc:Choice Requires="x14">
            <control shapeId="18727" r:id="rId223" name="Check Box 295">
              <controlPr defaultSize="0" autoFill="0" autoLine="0" autoPict="0">
                <anchor moveWithCells="1">
                  <from>
                    <xdr:col>22</xdr:col>
                    <xdr:colOff>0</xdr:colOff>
                    <xdr:row>33</xdr:row>
                    <xdr:rowOff>107950</xdr:rowOff>
                  </from>
                  <to>
                    <xdr:col>22</xdr:col>
                    <xdr:colOff>203200</xdr:colOff>
                    <xdr:row>35</xdr:row>
                    <xdr:rowOff>12700</xdr:rowOff>
                  </to>
                </anchor>
              </controlPr>
            </control>
          </mc:Choice>
        </mc:AlternateContent>
        <mc:AlternateContent xmlns:mc="http://schemas.openxmlformats.org/markup-compatibility/2006">
          <mc:Choice Requires="x14">
            <control shapeId="18728" r:id="rId224" name="Check Box 296">
              <controlPr defaultSize="0" autoFill="0" autoLine="0" autoPict="0">
                <anchor moveWithCells="1">
                  <from>
                    <xdr:col>22</xdr:col>
                    <xdr:colOff>0</xdr:colOff>
                    <xdr:row>34</xdr:row>
                    <xdr:rowOff>107950</xdr:rowOff>
                  </from>
                  <to>
                    <xdr:col>22</xdr:col>
                    <xdr:colOff>203200</xdr:colOff>
                    <xdr:row>36</xdr:row>
                    <xdr:rowOff>12700</xdr:rowOff>
                  </to>
                </anchor>
              </controlPr>
            </control>
          </mc:Choice>
        </mc:AlternateContent>
        <mc:AlternateContent xmlns:mc="http://schemas.openxmlformats.org/markup-compatibility/2006">
          <mc:Choice Requires="x14">
            <control shapeId="18729" r:id="rId225" name="Check Box 297">
              <controlPr defaultSize="0" autoFill="0" autoLine="0" autoPict="0">
                <anchor moveWithCells="1">
                  <from>
                    <xdr:col>22</xdr:col>
                    <xdr:colOff>0</xdr:colOff>
                    <xdr:row>35</xdr:row>
                    <xdr:rowOff>107950</xdr:rowOff>
                  </from>
                  <to>
                    <xdr:col>22</xdr:col>
                    <xdr:colOff>203200</xdr:colOff>
                    <xdr:row>37</xdr:row>
                    <xdr:rowOff>12700</xdr:rowOff>
                  </to>
                </anchor>
              </controlPr>
            </control>
          </mc:Choice>
        </mc:AlternateContent>
        <mc:AlternateContent xmlns:mc="http://schemas.openxmlformats.org/markup-compatibility/2006">
          <mc:Choice Requires="x14">
            <control shapeId="18730" r:id="rId226" name="Check Box 298">
              <controlPr defaultSize="0" autoFill="0" autoLine="0" autoPict="0">
                <anchor moveWithCells="1">
                  <from>
                    <xdr:col>22</xdr:col>
                    <xdr:colOff>0</xdr:colOff>
                    <xdr:row>36</xdr:row>
                    <xdr:rowOff>107950</xdr:rowOff>
                  </from>
                  <to>
                    <xdr:col>22</xdr:col>
                    <xdr:colOff>203200</xdr:colOff>
                    <xdr:row>38</xdr:row>
                    <xdr:rowOff>12700</xdr:rowOff>
                  </to>
                </anchor>
              </controlPr>
            </control>
          </mc:Choice>
        </mc:AlternateContent>
        <mc:AlternateContent xmlns:mc="http://schemas.openxmlformats.org/markup-compatibility/2006">
          <mc:Choice Requires="x14">
            <control shapeId="18731" r:id="rId227" name="Check Box 299">
              <controlPr defaultSize="0" autoFill="0" autoLine="0" autoPict="0">
                <anchor moveWithCells="1">
                  <from>
                    <xdr:col>22</xdr:col>
                    <xdr:colOff>0</xdr:colOff>
                    <xdr:row>37</xdr:row>
                    <xdr:rowOff>107950</xdr:rowOff>
                  </from>
                  <to>
                    <xdr:col>22</xdr:col>
                    <xdr:colOff>203200</xdr:colOff>
                    <xdr:row>39</xdr:row>
                    <xdr:rowOff>12700</xdr:rowOff>
                  </to>
                </anchor>
              </controlPr>
            </control>
          </mc:Choice>
        </mc:AlternateContent>
        <mc:AlternateContent xmlns:mc="http://schemas.openxmlformats.org/markup-compatibility/2006">
          <mc:Choice Requires="x14">
            <control shapeId="18732" r:id="rId228" name="Check Box 300">
              <controlPr defaultSize="0" autoFill="0" autoLine="0" autoPict="0">
                <anchor moveWithCells="1">
                  <from>
                    <xdr:col>22</xdr:col>
                    <xdr:colOff>0</xdr:colOff>
                    <xdr:row>39</xdr:row>
                    <xdr:rowOff>107950</xdr:rowOff>
                  </from>
                  <to>
                    <xdr:col>22</xdr:col>
                    <xdr:colOff>203200</xdr:colOff>
                    <xdr:row>41</xdr:row>
                    <xdr:rowOff>12700</xdr:rowOff>
                  </to>
                </anchor>
              </controlPr>
            </control>
          </mc:Choice>
        </mc:AlternateContent>
        <mc:AlternateContent xmlns:mc="http://schemas.openxmlformats.org/markup-compatibility/2006">
          <mc:Choice Requires="x14">
            <control shapeId="18733" r:id="rId229" name="Check Box 301">
              <controlPr defaultSize="0" autoFill="0" autoLine="0" autoPict="0">
                <anchor moveWithCells="1">
                  <from>
                    <xdr:col>22</xdr:col>
                    <xdr:colOff>0</xdr:colOff>
                    <xdr:row>38</xdr:row>
                    <xdr:rowOff>107950</xdr:rowOff>
                  </from>
                  <to>
                    <xdr:col>22</xdr:col>
                    <xdr:colOff>203200</xdr:colOff>
                    <xdr:row>40</xdr:row>
                    <xdr:rowOff>12700</xdr:rowOff>
                  </to>
                </anchor>
              </controlPr>
            </control>
          </mc:Choice>
        </mc:AlternateContent>
        <mc:AlternateContent xmlns:mc="http://schemas.openxmlformats.org/markup-compatibility/2006">
          <mc:Choice Requires="x14">
            <control shapeId="18734" r:id="rId230" name="Check Box 302">
              <controlPr defaultSize="0" autoFill="0" autoLine="0" autoPict="0">
                <anchor moveWithCells="1">
                  <from>
                    <xdr:col>22</xdr:col>
                    <xdr:colOff>0</xdr:colOff>
                    <xdr:row>40</xdr:row>
                    <xdr:rowOff>107950</xdr:rowOff>
                  </from>
                  <to>
                    <xdr:col>22</xdr:col>
                    <xdr:colOff>203200</xdr:colOff>
                    <xdr:row>42</xdr:row>
                    <xdr:rowOff>12700</xdr:rowOff>
                  </to>
                </anchor>
              </controlPr>
            </control>
          </mc:Choice>
        </mc:AlternateContent>
        <mc:AlternateContent xmlns:mc="http://schemas.openxmlformats.org/markup-compatibility/2006">
          <mc:Choice Requires="x14">
            <control shapeId="18735" r:id="rId231" name="Check Box 303">
              <controlPr defaultSize="0" autoFill="0" autoLine="0" autoPict="0">
                <anchor moveWithCells="1">
                  <from>
                    <xdr:col>22</xdr:col>
                    <xdr:colOff>0</xdr:colOff>
                    <xdr:row>41</xdr:row>
                    <xdr:rowOff>107950</xdr:rowOff>
                  </from>
                  <to>
                    <xdr:col>22</xdr:col>
                    <xdr:colOff>203200</xdr:colOff>
                    <xdr:row>43</xdr:row>
                    <xdr:rowOff>12700</xdr:rowOff>
                  </to>
                </anchor>
              </controlPr>
            </control>
          </mc:Choice>
        </mc:AlternateContent>
        <mc:AlternateContent xmlns:mc="http://schemas.openxmlformats.org/markup-compatibility/2006">
          <mc:Choice Requires="x14">
            <control shapeId="18736" r:id="rId232" name="Check Box 304">
              <controlPr defaultSize="0" autoFill="0" autoLine="0" autoPict="0">
                <anchor moveWithCells="1">
                  <from>
                    <xdr:col>22</xdr:col>
                    <xdr:colOff>0</xdr:colOff>
                    <xdr:row>42</xdr:row>
                    <xdr:rowOff>107950</xdr:rowOff>
                  </from>
                  <to>
                    <xdr:col>22</xdr:col>
                    <xdr:colOff>203200</xdr:colOff>
                    <xdr:row>44</xdr:row>
                    <xdr:rowOff>12700</xdr:rowOff>
                  </to>
                </anchor>
              </controlPr>
            </control>
          </mc:Choice>
        </mc:AlternateContent>
        <mc:AlternateContent xmlns:mc="http://schemas.openxmlformats.org/markup-compatibility/2006">
          <mc:Choice Requires="x14">
            <control shapeId="18737" r:id="rId233" name="Check Box 305">
              <controlPr defaultSize="0" autoFill="0" autoLine="0" autoPict="0">
                <anchor moveWithCells="1">
                  <from>
                    <xdr:col>22</xdr:col>
                    <xdr:colOff>0</xdr:colOff>
                    <xdr:row>43</xdr:row>
                    <xdr:rowOff>107950</xdr:rowOff>
                  </from>
                  <to>
                    <xdr:col>22</xdr:col>
                    <xdr:colOff>203200</xdr:colOff>
                    <xdr:row>45</xdr:row>
                    <xdr:rowOff>12700</xdr:rowOff>
                  </to>
                </anchor>
              </controlPr>
            </control>
          </mc:Choice>
        </mc:AlternateContent>
        <mc:AlternateContent xmlns:mc="http://schemas.openxmlformats.org/markup-compatibility/2006">
          <mc:Choice Requires="x14">
            <control shapeId="18738" r:id="rId234" name="Check Box 306">
              <controlPr defaultSize="0" autoFill="0" autoLine="0" autoPict="0">
                <anchor moveWithCells="1">
                  <from>
                    <xdr:col>22</xdr:col>
                    <xdr:colOff>0</xdr:colOff>
                    <xdr:row>44</xdr:row>
                    <xdr:rowOff>107950</xdr:rowOff>
                  </from>
                  <to>
                    <xdr:col>22</xdr:col>
                    <xdr:colOff>203200</xdr:colOff>
                    <xdr:row>46</xdr:row>
                    <xdr:rowOff>12700</xdr:rowOff>
                  </to>
                </anchor>
              </controlPr>
            </control>
          </mc:Choice>
        </mc:AlternateContent>
        <mc:AlternateContent xmlns:mc="http://schemas.openxmlformats.org/markup-compatibility/2006">
          <mc:Choice Requires="x14">
            <control shapeId="18739" r:id="rId235" name="Check Box 307">
              <controlPr defaultSize="0" autoFill="0" autoLine="0" autoPict="0">
                <anchor moveWithCells="1">
                  <from>
                    <xdr:col>27</xdr:col>
                    <xdr:colOff>0</xdr:colOff>
                    <xdr:row>5</xdr:row>
                    <xdr:rowOff>107950</xdr:rowOff>
                  </from>
                  <to>
                    <xdr:col>27</xdr:col>
                    <xdr:colOff>203200</xdr:colOff>
                    <xdr:row>7</xdr:row>
                    <xdr:rowOff>12700</xdr:rowOff>
                  </to>
                </anchor>
              </controlPr>
            </control>
          </mc:Choice>
        </mc:AlternateContent>
        <mc:AlternateContent xmlns:mc="http://schemas.openxmlformats.org/markup-compatibility/2006">
          <mc:Choice Requires="x14">
            <control shapeId="18740" r:id="rId236" name="Check Box 308">
              <controlPr defaultSize="0" autoFill="0" autoLine="0" autoPict="0">
                <anchor moveWithCells="1">
                  <from>
                    <xdr:col>27</xdr:col>
                    <xdr:colOff>0</xdr:colOff>
                    <xdr:row>6</xdr:row>
                    <xdr:rowOff>107950</xdr:rowOff>
                  </from>
                  <to>
                    <xdr:col>27</xdr:col>
                    <xdr:colOff>203200</xdr:colOff>
                    <xdr:row>8</xdr:row>
                    <xdr:rowOff>12700</xdr:rowOff>
                  </to>
                </anchor>
              </controlPr>
            </control>
          </mc:Choice>
        </mc:AlternateContent>
        <mc:AlternateContent xmlns:mc="http://schemas.openxmlformats.org/markup-compatibility/2006">
          <mc:Choice Requires="x14">
            <control shapeId="18741" r:id="rId237" name="Check Box 309">
              <controlPr defaultSize="0" autoFill="0" autoLine="0" autoPict="0">
                <anchor moveWithCells="1">
                  <from>
                    <xdr:col>27</xdr:col>
                    <xdr:colOff>0</xdr:colOff>
                    <xdr:row>7</xdr:row>
                    <xdr:rowOff>107950</xdr:rowOff>
                  </from>
                  <to>
                    <xdr:col>27</xdr:col>
                    <xdr:colOff>203200</xdr:colOff>
                    <xdr:row>9</xdr:row>
                    <xdr:rowOff>12700</xdr:rowOff>
                  </to>
                </anchor>
              </controlPr>
            </control>
          </mc:Choice>
        </mc:AlternateContent>
        <mc:AlternateContent xmlns:mc="http://schemas.openxmlformats.org/markup-compatibility/2006">
          <mc:Choice Requires="x14">
            <control shapeId="18742" r:id="rId238" name="Check Box 310">
              <controlPr defaultSize="0" autoFill="0" autoLine="0" autoPict="0">
                <anchor moveWithCells="1">
                  <from>
                    <xdr:col>27</xdr:col>
                    <xdr:colOff>0</xdr:colOff>
                    <xdr:row>8</xdr:row>
                    <xdr:rowOff>107950</xdr:rowOff>
                  </from>
                  <to>
                    <xdr:col>27</xdr:col>
                    <xdr:colOff>203200</xdr:colOff>
                    <xdr:row>10</xdr:row>
                    <xdr:rowOff>12700</xdr:rowOff>
                  </to>
                </anchor>
              </controlPr>
            </control>
          </mc:Choice>
        </mc:AlternateContent>
        <mc:AlternateContent xmlns:mc="http://schemas.openxmlformats.org/markup-compatibility/2006">
          <mc:Choice Requires="x14">
            <control shapeId="18743" r:id="rId239" name="Check Box 311">
              <controlPr defaultSize="0" autoFill="0" autoLine="0" autoPict="0">
                <anchor moveWithCells="1">
                  <from>
                    <xdr:col>27</xdr:col>
                    <xdr:colOff>0</xdr:colOff>
                    <xdr:row>9</xdr:row>
                    <xdr:rowOff>107950</xdr:rowOff>
                  </from>
                  <to>
                    <xdr:col>27</xdr:col>
                    <xdr:colOff>203200</xdr:colOff>
                    <xdr:row>11</xdr:row>
                    <xdr:rowOff>12700</xdr:rowOff>
                  </to>
                </anchor>
              </controlPr>
            </control>
          </mc:Choice>
        </mc:AlternateContent>
        <mc:AlternateContent xmlns:mc="http://schemas.openxmlformats.org/markup-compatibility/2006">
          <mc:Choice Requires="x14">
            <control shapeId="18744" r:id="rId240" name="Check Box 312">
              <controlPr defaultSize="0" autoFill="0" autoLine="0" autoPict="0">
                <anchor moveWithCells="1">
                  <from>
                    <xdr:col>27</xdr:col>
                    <xdr:colOff>0</xdr:colOff>
                    <xdr:row>10</xdr:row>
                    <xdr:rowOff>107950</xdr:rowOff>
                  </from>
                  <to>
                    <xdr:col>27</xdr:col>
                    <xdr:colOff>203200</xdr:colOff>
                    <xdr:row>12</xdr:row>
                    <xdr:rowOff>12700</xdr:rowOff>
                  </to>
                </anchor>
              </controlPr>
            </control>
          </mc:Choice>
        </mc:AlternateContent>
        <mc:AlternateContent xmlns:mc="http://schemas.openxmlformats.org/markup-compatibility/2006">
          <mc:Choice Requires="x14">
            <control shapeId="18745" r:id="rId241" name="Check Box 313">
              <controlPr defaultSize="0" autoFill="0" autoLine="0" autoPict="0">
                <anchor moveWithCells="1">
                  <from>
                    <xdr:col>27</xdr:col>
                    <xdr:colOff>0</xdr:colOff>
                    <xdr:row>11</xdr:row>
                    <xdr:rowOff>107950</xdr:rowOff>
                  </from>
                  <to>
                    <xdr:col>27</xdr:col>
                    <xdr:colOff>203200</xdr:colOff>
                    <xdr:row>13</xdr:row>
                    <xdr:rowOff>12700</xdr:rowOff>
                  </to>
                </anchor>
              </controlPr>
            </control>
          </mc:Choice>
        </mc:AlternateContent>
        <mc:AlternateContent xmlns:mc="http://schemas.openxmlformats.org/markup-compatibility/2006">
          <mc:Choice Requires="x14">
            <control shapeId="18746" r:id="rId242" name="Check Box 314">
              <controlPr defaultSize="0" autoFill="0" autoLine="0" autoPict="0">
                <anchor moveWithCells="1">
                  <from>
                    <xdr:col>27</xdr:col>
                    <xdr:colOff>0</xdr:colOff>
                    <xdr:row>12</xdr:row>
                    <xdr:rowOff>107950</xdr:rowOff>
                  </from>
                  <to>
                    <xdr:col>27</xdr:col>
                    <xdr:colOff>203200</xdr:colOff>
                    <xdr:row>14</xdr:row>
                    <xdr:rowOff>12700</xdr:rowOff>
                  </to>
                </anchor>
              </controlPr>
            </control>
          </mc:Choice>
        </mc:AlternateContent>
        <mc:AlternateContent xmlns:mc="http://schemas.openxmlformats.org/markup-compatibility/2006">
          <mc:Choice Requires="x14">
            <control shapeId="18747" r:id="rId243" name="Check Box 315">
              <controlPr defaultSize="0" autoFill="0" autoLine="0" autoPict="0">
                <anchor moveWithCells="1">
                  <from>
                    <xdr:col>27</xdr:col>
                    <xdr:colOff>0</xdr:colOff>
                    <xdr:row>13</xdr:row>
                    <xdr:rowOff>107950</xdr:rowOff>
                  </from>
                  <to>
                    <xdr:col>27</xdr:col>
                    <xdr:colOff>203200</xdr:colOff>
                    <xdr:row>15</xdr:row>
                    <xdr:rowOff>12700</xdr:rowOff>
                  </to>
                </anchor>
              </controlPr>
            </control>
          </mc:Choice>
        </mc:AlternateContent>
        <mc:AlternateContent xmlns:mc="http://schemas.openxmlformats.org/markup-compatibility/2006">
          <mc:Choice Requires="x14">
            <control shapeId="18748" r:id="rId244" name="Check Box 316">
              <controlPr defaultSize="0" autoFill="0" autoLine="0" autoPict="0">
                <anchor moveWithCells="1">
                  <from>
                    <xdr:col>27</xdr:col>
                    <xdr:colOff>0</xdr:colOff>
                    <xdr:row>14</xdr:row>
                    <xdr:rowOff>107950</xdr:rowOff>
                  </from>
                  <to>
                    <xdr:col>27</xdr:col>
                    <xdr:colOff>203200</xdr:colOff>
                    <xdr:row>16</xdr:row>
                    <xdr:rowOff>12700</xdr:rowOff>
                  </to>
                </anchor>
              </controlPr>
            </control>
          </mc:Choice>
        </mc:AlternateContent>
        <mc:AlternateContent xmlns:mc="http://schemas.openxmlformats.org/markup-compatibility/2006">
          <mc:Choice Requires="x14">
            <control shapeId="18749" r:id="rId245" name="Check Box 317">
              <controlPr defaultSize="0" autoFill="0" autoLine="0" autoPict="0">
                <anchor moveWithCells="1">
                  <from>
                    <xdr:col>27</xdr:col>
                    <xdr:colOff>0</xdr:colOff>
                    <xdr:row>15</xdr:row>
                    <xdr:rowOff>107950</xdr:rowOff>
                  </from>
                  <to>
                    <xdr:col>27</xdr:col>
                    <xdr:colOff>203200</xdr:colOff>
                    <xdr:row>17</xdr:row>
                    <xdr:rowOff>12700</xdr:rowOff>
                  </to>
                </anchor>
              </controlPr>
            </control>
          </mc:Choice>
        </mc:AlternateContent>
        <mc:AlternateContent xmlns:mc="http://schemas.openxmlformats.org/markup-compatibility/2006">
          <mc:Choice Requires="x14">
            <control shapeId="18750" r:id="rId246" name="Check Box 318">
              <controlPr defaultSize="0" autoFill="0" autoLine="0" autoPict="0">
                <anchor moveWithCells="1">
                  <from>
                    <xdr:col>27</xdr:col>
                    <xdr:colOff>0</xdr:colOff>
                    <xdr:row>16</xdr:row>
                    <xdr:rowOff>107950</xdr:rowOff>
                  </from>
                  <to>
                    <xdr:col>27</xdr:col>
                    <xdr:colOff>203200</xdr:colOff>
                    <xdr:row>18</xdr:row>
                    <xdr:rowOff>12700</xdr:rowOff>
                  </to>
                </anchor>
              </controlPr>
            </control>
          </mc:Choice>
        </mc:AlternateContent>
        <mc:AlternateContent xmlns:mc="http://schemas.openxmlformats.org/markup-compatibility/2006">
          <mc:Choice Requires="x14">
            <control shapeId="18751" r:id="rId247" name="Check Box 319">
              <controlPr defaultSize="0" autoFill="0" autoLine="0" autoPict="0">
                <anchor moveWithCells="1">
                  <from>
                    <xdr:col>27</xdr:col>
                    <xdr:colOff>0</xdr:colOff>
                    <xdr:row>17</xdr:row>
                    <xdr:rowOff>107950</xdr:rowOff>
                  </from>
                  <to>
                    <xdr:col>27</xdr:col>
                    <xdr:colOff>203200</xdr:colOff>
                    <xdr:row>19</xdr:row>
                    <xdr:rowOff>12700</xdr:rowOff>
                  </to>
                </anchor>
              </controlPr>
            </control>
          </mc:Choice>
        </mc:AlternateContent>
        <mc:AlternateContent xmlns:mc="http://schemas.openxmlformats.org/markup-compatibility/2006">
          <mc:Choice Requires="x14">
            <control shapeId="18752" r:id="rId248" name="Check Box 320">
              <controlPr defaultSize="0" autoFill="0" autoLine="0" autoPict="0">
                <anchor moveWithCells="1">
                  <from>
                    <xdr:col>27</xdr:col>
                    <xdr:colOff>0</xdr:colOff>
                    <xdr:row>18</xdr:row>
                    <xdr:rowOff>107950</xdr:rowOff>
                  </from>
                  <to>
                    <xdr:col>27</xdr:col>
                    <xdr:colOff>203200</xdr:colOff>
                    <xdr:row>20</xdr:row>
                    <xdr:rowOff>12700</xdr:rowOff>
                  </to>
                </anchor>
              </controlPr>
            </control>
          </mc:Choice>
        </mc:AlternateContent>
        <mc:AlternateContent xmlns:mc="http://schemas.openxmlformats.org/markup-compatibility/2006">
          <mc:Choice Requires="x14">
            <control shapeId="18753" r:id="rId249" name="Check Box 321">
              <controlPr defaultSize="0" autoFill="0" autoLine="0" autoPict="0">
                <anchor moveWithCells="1">
                  <from>
                    <xdr:col>27</xdr:col>
                    <xdr:colOff>0</xdr:colOff>
                    <xdr:row>19</xdr:row>
                    <xdr:rowOff>107950</xdr:rowOff>
                  </from>
                  <to>
                    <xdr:col>27</xdr:col>
                    <xdr:colOff>203200</xdr:colOff>
                    <xdr:row>21</xdr:row>
                    <xdr:rowOff>12700</xdr:rowOff>
                  </to>
                </anchor>
              </controlPr>
            </control>
          </mc:Choice>
        </mc:AlternateContent>
        <mc:AlternateContent xmlns:mc="http://schemas.openxmlformats.org/markup-compatibility/2006">
          <mc:Choice Requires="x14">
            <control shapeId="18754" r:id="rId250" name="Check Box 322">
              <controlPr defaultSize="0" autoFill="0" autoLine="0" autoPict="0">
                <anchor moveWithCells="1">
                  <from>
                    <xdr:col>27</xdr:col>
                    <xdr:colOff>0</xdr:colOff>
                    <xdr:row>20</xdr:row>
                    <xdr:rowOff>107950</xdr:rowOff>
                  </from>
                  <to>
                    <xdr:col>27</xdr:col>
                    <xdr:colOff>203200</xdr:colOff>
                    <xdr:row>22</xdr:row>
                    <xdr:rowOff>12700</xdr:rowOff>
                  </to>
                </anchor>
              </controlPr>
            </control>
          </mc:Choice>
        </mc:AlternateContent>
        <mc:AlternateContent xmlns:mc="http://schemas.openxmlformats.org/markup-compatibility/2006">
          <mc:Choice Requires="x14">
            <control shapeId="18755" r:id="rId251" name="Check Box 323">
              <controlPr defaultSize="0" autoFill="0" autoLine="0" autoPict="0">
                <anchor moveWithCells="1">
                  <from>
                    <xdr:col>27</xdr:col>
                    <xdr:colOff>0</xdr:colOff>
                    <xdr:row>21</xdr:row>
                    <xdr:rowOff>107950</xdr:rowOff>
                  </from>
                  <to>
                    <xdr:col>27</xdr:col>
                    <xdr:colOff>203200</xdr:colOff>
                    <xdr:row>23</xdr:row>
                    <xdr:rowOff>12700</xdr:rowOff>
                  </to>
                </anchor>
              </controlPr>
            </control>
          </mc:Choice>
        </mc:AlternateContent>
        <mc:AlternateContent xmlns:mc="http://schemas.openxmlformats.org/markup-compatibility/2006">
          <mc:Choice Requires="x14">
            <control shapeId="18756" r:id="rId252" name="Check Box 324">
              <controlPr defaultSize="0" autoFill="0" autoLine="0" autoPict="0">
                <anchor moveWithCells="1">
                  <from>
                    <xdr:col>27</xdr:col>
                    <xdr:colOff>0</xdr:colOff>
                    <xdr:row>22</xdr:row>
                    <xdr:rowOff>107950</xdr:rowOff>
                  </from>
                  <to>
                    <xdr:col>27</xdr:col>
                    <xdr:colOff>203200</xdr:colOff>
                    <xdr:row>24</xdr:row>
                    <xdr:rowOff>12700</xdr:rowOff>
                  </to>
                </anchor>
              </controlPr>
            </control>
          </mc:Choice>
        </mc:AlternateContent>
        <mc:AlternateContent xmlns:mc="http://schemas.openxmlformats.org/markup-compatibility/2006">
          <mc:Choice Requires="x14">
            <control shapeId="18757" r:id="rId253" name="Check Box 325">
              <controlPr defaultSize="0" autoFill="0" autoLine="0" autoPict="0">
                <anchor moveWithCells="1">
                  <from>
                    <xdr:col>27</xdr:col>
                    <xdr:colOff>0</xdr:colOff>
                    <xdr:row>23</xdr:row>
                    <xdr:rowOff>107950</xdr:rowOff>
                  </from>
                  <to>
                    <xdr:col>27</xdr:col>
                    <xdr:colOff>203200</xdr:colOff>
                    <xdr:row>25</xdr:row>
                    <xdr:rowOff>12700</xdr:rowOff>
                  </to>
                </anchor>
              </controlPr>
            </control>
          </mc:Choice>
        </mc:AlternateContent>
        <mc:AlternateContent xmlns:mc="http://schemas.openxmlformats.org/markup-compatibility/2006">
          <mc:Choice Requires="x14">
            <control shapeId="18758" r:id="rId254" name="Check Box 326">
              <controlPr defaultSize="0" autoFill="0" autoLine="0" autoPict="0">
                <anchor moveWithCells="1">
                  <from>
                    <xdr:col>27</xdr:col>
                    <xdr:colOff>0</xdr:colOff>
                    <xdr:row>24</xdr:row>
                    <xdr:rowOff>107950</xdr:rowOff>
                  </from>
                  <to>
                    <xdr:col>27</xdr:col>
                    <xdr:colOff>203200</xdr:colOff>
                    <xdr:row>26</xdr:row>
                    <xdr:rowOff>12700</xdr:rowOff>
                  </to>
                </anchor>
              </controlPr>
            </control>
          </mc:Choice>
        </mc:AlternateContent>
        <mc:AlternateContent xmlns:mc="http://schemas.openxmlformats.org/markup-compatibility/2006">
          <mc:Choice Requires="x14">
            <control shapeId="18759" r:id="rId255" name="Check Box 327">
              <controlPr defaultSize="0" autoFill="0" autoLine="0" autoPict="0">
                <anchor moveWithCells="1">
                  <from>
                    <xdr:col>27</xdr:col>
                    <xdr:colOff>0</xdr:colOff>
                    <xdr:row>25</xdr:row>
                    <xdr:rowOff>107950</xdr:rowOff>
                  </from>
                  <to>
                    <xdr:col>27</xdr:col>
                    <xdr:colOff>203200</xdr:colOff>
                    <xdr:row>27</xdr:row>
                    <xdr:rowOff>12700</xdr:rowOff>
                  </to>
                </anchor>
              </controlPr>
            </control>
          </mc:Choice>
        </mc:AlternateContent>
        <mc:AlternateContent xmlns:mc="http://schemas.openxmlformats.org/markup-compatibility/2006">
          <mc:Choice Requires="x14">
            <control shapeId="18760" r:id="rId256" name="Check Box 328">
              <controlPr defaultSize="0" autoFill="0" autoLine="0" autoPict="0">
                <anchor moveWithCells="1">
                  <from>
                    <xdr:col>27</xdr:col>
                    <xdr:colOff>0</xdr:colOff>
                    <xdr:row>26</xdr:row>
                    <xdr:rowOff>107950</xdr:rowOff>
                  </from>
                  <to>
                    <xdr:col>27</xdr:col>
                    <xdr:colOff>203200</xdr:colOff>
                    <xdr:row>28</xdr:row>
                    <xdr:rowOff>12700</xdr:rowOff>
                  </to>
                </anchor>
              </controlPr>
            </control>
          </mc:Choice>
        </mc:AlternateContent>
        <mc:AlternateContent xmlns:mc="http://schemas.openxmlformats.org/markup-compatibility/2006">
          <mc:Choice Requires="x14">
            <control shapeId="18761" r:id="rId257" name="Check Box 329">
              <controlPr defaultSize="0" autoFill="0" autoLine="0" autoPict="0">
                <anchor moveWithCells="1">
                  <from>
                    <xdr:col>27</xdr:col>
                    <xdr:colOff>0</xdr:colOff>
                    <xdr:row>27</xdr:row>
                    <xdr:rowOff>107950</xdr:rowOff>
                  </from>
                  <to>
                    <xdr:col>27</xdr:col>
                    <xdr:colOff>203200</xdr:colOff>
                    <xdr:row>29</xdr:row>
                    <xdr:rowOff>12700</xdr:rowOff>
                  </to>
                </anchor>
              </controlPr>
            </control>
          </mc:Choice>
        </mc:AlternateContent>
        <mc:AlternateContent xmlns:mc="http://schemas.openxmlformats.org/markup-compatibility/2006">
          <mc:Choice Requires="x14">
            <control shapeId="18762" r:id="rId258" name="Check Box 330">
              <controlPr defaultSize="0" autoFill="0" autoLine="0" autoPict="0">
                <anchor moveWithCells="1">
                  <from>
                    <xdr:col>27</xdr:col>
                    <xdr:colOff>0</xdr:colOff>
                    <xdr:row>28</xdr:row>
                    <xdr:rowOff>107950</xdr:rowOff>
                  </from>
                  <to>
                    <xdr:col>27</xdr:col>
                    <xdr:colOff>203200</xdr:colOff>
                    <xdr:row>30</xdr:row>
                    <xdr:rowOff>12700</xdr:rowOff>
                  </to>
                </anchor>
              </controlPr>
            </control>
          </mc:Choice>
        </mc:AlternateContent>
        <mc:AlternateContent xmlns:mc="http://schemas.openxmlformats.org/markup-compatibility/2006">
          <mc:Choice Requires="x14">
            <control shapeId="18763" r:id="rId259" name="Check Box 331">
              <controlPr defaultSize="0" autoFill="0" autoLine="0" autoPict="0">
                <anchor moveWithCells="1">
                  <from>
                    <xdr:col>27</xdr:col>
                    <xdr:colOff>0</xdr:colOff>
                    <xdr:row>29</xdr:row>
                    <xdr:rowOff>107950</xdr:rowOff>
                  </from>
                  <to>
                    <xdr:col>27</xdr:col>
                    <xdr:colOff>203200</xdr:colOff>
                    <xdr:row>31</xdr:row>
                    <xdr:rowOff>12700</xdr:rowOff>
                  </to>
                </anchor>
              </controlPr>
            </control>
          </mc:Choice>
        </mc:AlternateContent>
        <mc:AlternateContent xmlns:mc="http://schemas.openxmlformats.org/markup-compatibility/2006">
          <mc:Choice Requires="x14">
            <control shapeId="18764" r:id="rId260" name="Check Box 332">
              <controlPr defaultSize="0" autoFill="0" autoLine="0" autoPict="0">
                <anchor moveWithCells="1">
                  <from>
                    <xdr:col>27</xdr:col>
                    <xdr:colOff>0</xdr:colOff>
                    <xdr:row>30</xdr:row>
                    <xdr:rowOff>107950</xdr:rowOff>
                  </from>
                  <to>
                    <xdr:col>27</xdr:col>
                    <xdr:colOff>203200</xdr:colOff>
                    <xdr:row>32</xdr:row>
                    <xdr:rowOff>12700</xdr:rowOff>
                  </to>
                </anchor>
              </controlPr>
            </control>
          </mc:Choice>
        </mc:AlternateContent>
        <mc:AlternateContent xmlns:mc="http://schemas.openxmlformats.org/markup-compatibility/2006">
          <mc:Choice Requires="x14">
            <control shapeId="18765" r:id="rId261" name="Check Box 333">
              <controlPr defaultSize="0" autoFill="0" autoLine="0" autoPict="0">
                <anchor moveWithCells="1">
                  <from>
                    <xdr:col>27</xdr:col>
                    <xdr:colOff>0</xdr:colOff>
                    <xdr:row>31</xdr:row>
                    <xdr:rowOff>107950</xdr:rowOff>
                  </from>
                  <to>
                    <xdr:col>27</xdr:col>
                    <xdr:colOff>203200</xdr:colOff>
                    <xdr:row>33</xdr:row>
                    <xdr:rowOff>12700</xdr:rowOff>
                  </to>
                </anchor>
              </controlPr>
            </control>
          </mc:Choice>
        </mc:AlternateContent>
        <mc:AlternateContent xmlns:mc="http://schemas.openxmlformats.org/markup-compatibility/2006">
          <mc:Choice Requires="x14">
            <control shapeId="18766" r:id="rId262" name="Check Box 334">
              <controlPr defaultSize="0" autoFill="0" autoLine="0" autoPict="0">
                <anchor moveWithCells="1">
                  <from>
                    <xdr:col>27</xdr:col>
                    <xdr:colOff>0</xdr:colOff>
                    <xdr:row>32</xdr:row>
                    <xdr:rowOff>107950</xdr:rowOff>
                  </from>
                  <to>
                    <xdr:col>27</xdr:col>
                    <xdr:colOff>203200</xdr:colOff>
                    <xdr:row>34</xdr:row>
                    <xdr:rowOff>12700</xdr:rowOff>
                  </to>
                </anchor>
              </controlPr>
            </control>
          </mc:Choice>
        </mc:AlternateContent>
        <mc:AlternateContent xmlns:mc="http://schemas.openxmlformats.org/markup-compatibility/2006">
          <mc:Choice Requires="x14">
            <control shapeId="18767" r:id="rId263" name="Check Box 335">
              <controlPr defaultSize="0" autoFill="0" autoLine="0" autoPict="0">
                <anchor moveWithCells="1">
                  <from>
                    <xdr:col>27</xdr:col>
                    <xdr:colOff>0</xdr:colOff>
                    <xdr:row>33</xdr:row>
                    <xdr:rowOff>107950</xdr:rowOff>
                  </from>
                  <to>
                    <xdr:col>27</xdr:col>
                    <xdr:colOff>203200</xdr:colOff>
                    <xdr:row>35</xdr:row>
                    <xdr:rowOff>12700</xdr:rowOff>
                  </to>
                </anchor>
              </controlPr>
            </control>
          </mc:Choice>
        </mc:AlternateContent>
        <mc:AlternateContent xmlns:mc="http://schemas.openxmlformats.org/markup-compatibility/2006">
          <mc:Choice Requires="x14">
            <control shapeId="18768" r:id="rId264" name="Check Box 336">
              <controlPr defaultSize="0" autoFill="0" autoLine="0" autoPict="0">
                <anchor moveWithCells="1">
                  <from>
                    <xdr:col>27</xdr:col>
                    <xdr:colOff>0</xdr:colOff>
                    <xdr:row>34</xdr:row>
                    <xdr:rowOff>107950</xdr:rowOff>
                  </from>
                  <to>
                    <xdr:col>27</xdr:col>
                    <xdr:colOff>203200</xdr:colOff>
                    <xdr:row>36</xdr:row>
                    <xdr:rowOff>12700</xdr:rowOff>
                  </to>
                </anchor>
              </controlPr>
            </control>
          </mc:Choice>
        </mc:AlternateContent>
        <mc:AlternateContent xmlns:mc="http://schemas.openxmlformats.org/markup-compatibility/2006">
          <mc:Choice Requires="x14">
            <control shapeId="18769" r:id="rId265" name="Check Box 337">
              <controlPr defaultSize="0" autoFill="0" autoLine="0" autoPict="0">
                <anchor moveWithCells="1">
                  <from>
                    <xdr:col>27</xdr:col>
                    <xdr:colOff>0</xdr:colOff>
                    <xdr:row>35</xdr:row>
                    <xdr:rowOff>107950</xdr:rowOff>
                  </from>
                  <to>
                    <xdr:col>27</xdr:col>
                    <xdr:colOff>203200</xdr:colOff>
                    <xdr:row>37</xdr:row>
                    <xdr:rowOff>12700</xdr:rowOff>
                  </to>
                </anchor>
              </controlPr>
            </control>
          </mc:Choice>
        </mc:AlternateContent>
        <mc:AlternateContent xmlns:mc="http://schemas.openxmlformats.org/markup-compatibility/2006">
          <mc:Choice Requires="x14">
            <control shapeId="18770" r:id="rId266" name="Check Box 338">
              <controlPr defaultSize="0" autoFill="0" autoLine="0" autoPict="0">
                <anchor moveWithCells="1">
                  <from>
                    <xdr:col>27</xdr:col>
                    <xdr:colOff>0</xdr:colOff>
                    <xdr:row>36</xdr:row>
                    <xdr:rowOff>107950</xdr:rowOff>
                  </from>
                  <to>
                    <xdr:col>27</xdr:col>
                    <xdr:colOff>203200</xdr:colOff>
                    <xdr:row>38</xdr:row>
                    <xdr:rowOff>12700</xdr:rowOff>
                  </to>
                </anchor>
              </controlPr>
            </control>
          </mc:Choice>
        </mc:AlternateContent>
        <mc:AlternateContent xmlns:mc="http://schemas.openxmlformats.org/markup-compatibility/2006">
          <mc:Choice Requires="x14">
            <control shapeId="18771" r:id="rId267" name="Check Box 339">
              <controlPr defaultSize="0" autoFill="0" autoLine="0" autoPict="0">
                <anchor moveWithCells="1">
                  <from>
                    <xdr:col>27</xdr:col>
                    <xdr:colOff>0</xdr:colOff>
                    <xdr:row>37</xdr:row>
                    <xdr:rowOff>107950</xdr:rowOff>
                  </from>
                  <to>
                    <xdr:col>27</xdr:col>
                    <xdr:colOff>203200</xdr:colOff>
                    <xdr:row>39</xdr:row>
                    <xdr:rowOff>12700</xdr:rowOff>
                  </to>
                </anchor>
              </controlPr>
            </control>
          </mc:Choice>
        </mc:AlternateContent>
        <mc:AlternateContent xmlns:mc="http://schemas.openxmlformats.org/markup-compatibility/2006">
          <mc:Choice Requires="x14">
            <control shapeId="18772" r:id="rId268" name="Check Box 340">
              <controlPr defaultSize="0" autoFill="0" autoLine="0" autoPict="0">
                <anchor moveWithCells="1">
                  <from>
                    <xdr:col>27</xdr:col>
                    <xdr:colOff>0</xdr:colOff>
                    <xdr:row>38</xdr:row>
                    <xdr:rowOff>107950</xdr:rowOff>
                  </from>
                  <to>
                    <xdr:col>27</xdr:col>
                    <xdr:colOff>203200</xdr:colOff>
                    <xdr:row>40</xdr:row>
                    <xdr:rowOff>12700</xdr:rowOff>
                  </to>
                </anchor>
              </controlPr>
            </control>
          </mc:Choice>
        </mc:AlternateContent>
        <mc:AlternateContent xmlns:mc="http://schemas.openxmlformats.org/markup-compatibility/2006">
          <mc:Choice Requires="x14">
            <control shapeId="18773" r:id="rId269" name="Check Box 341">
              <controlPr defaultSize="0" autoFill="0" autoLine="0" autoPict="0">
                <anchor moveWithCells="1">
                  <from>
                    <xdr:col>27</xdr:col>
                    <xdr:colOff>0</xdr:colOff>
                    <xdr:row>39</xdr:row>
                    <xdr:rowOff>107950</xdr:rowOff>
                  </from>
                  <to>
                    <xdr:col>27</xdr:col>
                    <xdr:colOff>203200</xdr:colOff>
                    <xdr:row>41</xdr:row>
                    <xdr:rowOff>12700</xdr:rowOff>
                  </to>
                </anchor>
              </controlPr>
            </control>
          </mc:Choice>
        </mc:AlternateContent>
        <mc:AlternateContent xmlns:mc="http://schemas.openxmlformats.org/markup-compatibility/2006">
          <mc:Choice Requires="x14">
            <control shapeId="18774" r:id="rId270" name="Check Box 342">
              <controlPr defaultSize="0" autoFill="0" autoLine="0" autoPict="0">
                <anchor moveWithCells="1">
                  <from>
                    <xdr:col>27</xdr:col>
                    <xdr:colOff>0</xdr:colOff>
                    <xdr:row>40</xdr:row>
                    <xdr:rowOff>107950</xdr:rowOff>
                  </from>
                  <to>
                    <xdr:col>27</xdr:col>
                    <xdr:colOff>203200</xdr:colOff>
                    <xdr:row>42</xdr:row>
                    <xdr:rowOff>12700</xdr:rowOff>
                  </to>
                </anchor>
              </controlPr>
            </control>
          </mc:Choice>
        </mc:AlternateContent>
        <mc:AlternateContent xmlns:mc="http://schemas.openxmlformats.org/markup-compatibility/2006">
          <mc:Choice Requires="x14">
            <control shapeId="18775" r:id="rId271" name="Check Box 343">
              <controlPr defaultSize="0" autoFill="0" autoLine="0" autoPict="0">
                <anchor moveWithCells="1">
                  <from>
                    <xdr:col>27</xdr:col>
                    <xdr:colOff>0</xdr:colOff>
                    <xdr:row>41</xdr:row>
                    <xdr:rowOff>107950</xdr:rowOff>
                  </from>
                  <to>
                    <xdr:col>27</xdr:col>
                    <xdr:colOff>203200</xdr:colOff>
                    <xdr:row>43</xdr:row>
                    <xdr:rowOff>12700</xdr:rowOff>
                  </to>
                </anchor>
              </controlPr>
            </control>
          </mc:Choice>
        </mc:AlternateContent>
        <mc:AlternateContent xmlns:mc="http://schemas.openxmlformats.org/markup-compatibility/2006">
          <mc:Choice Requires="x14">
            <control shapeId="18776" r:id="rId272" name="Check Box 344">
              <controlPr defaultSize="0" autoFill="0" autoLine="0" autoPict="0">
                <anchor moveWithCells="1">
                  <from>
                    <xdr:col>27</xdr:col>
                    <xdr:colOff>0</xdr:colOff>
                    <xdr:row>42</xdr:row>
                    <xdr:rowOff>107950</xdr:rowOff>
                  </from>
                  <to>
                    <xdr:col>27</xdr:col>
                    <xdr:colOff>203200</xdr:colOff>
                    <xdr:row>44</xdr:row>
                    <xdr:rowOff>12700</xdr:rowOff>
                  </to>
                </anchor>
              </controlPr>
            </control>
          </mc:Choice>
        </mc:AlternateContent>
        <mc:AlternateContent xmlns:mc="http://schemas.openxmlformats.org/markup-compatibility/2006">
          <mc:Choice Requires="x14">
            <control shapeId="18777" r:id="rId273" name="Check Box 345">
              <controlPr defaultSize="0" autoFill="0" autoLine="0" autoPict="0">
                <anchor moveWithCells="1">
                  <from>
                    <xdr:col>27</xdr:col>
                    <xdr:colOff>0</xdr:colOff>
                    <xdr:row>43</xdr:row>
                    <xdr:rowOff>107950</xdr:rowOff>
                  </from>
                  <to>
                    <xdr:col>27</xdr:col>
                    <xdr:colOff>203200</xdr:colOff>
                    <xdr:row>45</xdr:row>
                    <xdr:rowOff>12700</xdr:rowOff>
                  </to>
                </anchor>
              </controlPr>
            </control>
          </mc:Choice>
        </mc:AlternateContent>
        <mc:AlternateContent xmlns:mc="http://schemas.openxmlformats.org/markup-compatibility/2006">
          <mc:Choice Requires="x14">
            <control shapeId="18779" r:id="rId274" name="Check Box 347">
              <controlPr defaultSize="0" autoFill="0" autoLine="0" autoPict="0">
                <anchor moveWithCells="1">
                  <from>
                    <xdr:col>27</xdr:col>
                    <xdr:colOff>0</xdr:colOff>
                    <xdr:row>44</xdr:row>
                    <xdr:rowOff>107950</xdr:rowOff>
                  </from>
                  <to>
                    <xdr:col>27</xdr:col>
                    <xdr:colOff>203200</xdr:colOff>
                    <xdr:row>46</xdr:row>
                    <xdr:rowOff>12700</xdr:rowOff>
                  </to>
                </anchor>
              </controlPr>
            </control>
          </mc:Choice>
        </mc:AlternateContent>
        <mc:AlternateContent xmlns:mc="http://schemas.openxmlformats.org/markup-compatibility/2006">
          <mc:Choice Requires="x14">
            <control shapeId="18808" r:id="rId275" name="Check Box 376">
              <controlPr defaultSize="0" autoFill="0" autoLine="0" autoPict="0">
                <anchor moveWithCells="1">
                  <from>
                    <xdr:col>32</xdr:col>
                    <xdr:colOff>0</xdr:colOff>
                    <xdr:row>5</xdr:row>
                    <xdr:rowOff>107950</xdr:rowOff>
                  </from>
                  <to>
                    <xdr:col>32</xdr:col>
                    <xdr:colOff>203200</xdr:colOff>
                    <xdr:row>7</xdr:row>
                    <xdr:rowOff>12700</xdr:rowOff>
                  </to>
                </anchor>
              </controlPr>
            </control>
          </mc:Choice>
        </mc:AlternateContent>
        <mc:AlternateContent xmlns:mc="http://schemas.openxmlformats.org/markup-compatibility/2006">
          <mc:Choice Requires="x14">
            <control shapeId="18809" r:id="rId276" name="Check Box 377">
              <controlPr defaultSize="0" autoFill="0" autoLine="0" autoPict="0">
                <anchor moveWithCells="1">
                  <from>
                    <xdr:col>32</xdr:col>
                    <xdr:colOff>0</xdr:colOff>
                    <xdr:row>6</xdr:row>
                    <xdr:rowOff>107950</xdr:rowOff>
                  </from>
                  <to>
                    <xdr:col>32</xdr:col>
                    <xdr:colOff>203200</xdr:colOff>
                    <xdr:row>8</xdr:row>
                    <xdr:rowOff>12700</xdr:rowOff>
                  </to>
                </anchor>
              </controlPr>
            </control>
          </mc:Choice>
        </mc:AlternateContent>
        <mc:AlternateContent xmlns:mc="http://schemas.openxmlformats.org/markup-compatibility/2006">
          <mc:Choice Requires="x14">
            <control shapeId="18810" r:id="rId277" name="Check Box 378">
              <controlPr defaultSize="0" autoFill="0" autoLine="0" autoPict="0">
                <anchor moveWithCells="1">
                  <from>
                    <xdr:col>32</xdr:col>
                    <xdr:colOff>0</xdr:colOff>
                    <xdr:row>7</xdr:row>
                    <xdr:rowOff>107950</xdr:rowOff>
                  </from>
                  <to>
                    <xdr:col>32</xdr:col>
                    <xdr:colOff>203200</xdr:colOff>
                    <xdr:row>9</xdr:row>
                    <xdr:rowOff>12700</xdr:rowOff>
                  </to>
                </anchor>
              </controlPr>
            </control>
          </mc:Choice>
        </mc:AlternateContent>
        <mc:AlternateContent xmlns:mc="http://schemas.openxmlformats.org/markup-compatibility/2006">
          <mc:Choice Requires="x14">
            <control shapeId="18811" r:id="rId278" name="Check Box 379">
              <controlPr defaultSize="0" autoFill="0" autoLine="0" autoPict="0">
                <anchor moveWithCells="1">
                  <from>
                    <xdr:col>32</xdr:col>
                    <xdr:colOff>0</xdr:colOff>
                    <xdr:row>8</xdr:row>
                    <xdr:rowOff>107950</xdr:rowOff>
                  </from>
                  <to>
                    <xdr:col>32</xdr:col>
                    <xdr:colOff>203200</xdr:colOff>
                    <xdr:row>10</xdr:row>
                    <xdr:rowOff>12700</xdr:rowOff>
                  </to>
                </anchor>
              </controlPr>
            </control>
          </mc:Choice>
        </mc:AlternateContent>
        <mc:AlternateContent xmlns:mc="http://schemas.openxmlformats.org/markup-compatibility/2006">
          <mc:Choice Requires="x14">
            <control shapeId="18812" r:id="rId279" name="Check Box 380">
              <controlPr defaultSize="0" autoFill="0" autoLine="0" autoPict="0">
                <anchor moveWithCells="1">
                  <from>
                    <xdr:col>32</xdr:col>
                    <xdr:colOff>0</xdr:colOff>
                    <xdr:row>9</xdr:row>
                    <xdr:rowOff>107950</xdr:rowOff>
                  </from>
                  <to>
                    <xdr:col>32</xdr:col>
                    <xdr:colOff>203200</xdr:colOff>
                    <xdr:row>11</xdr:row>
                    <xdr:rowOff>12700</xdr:rowOff>
                  </to>
                </anchor>
              </controlPr>
            </control>
          </mc:Choice>
        </mc:AlternateContent>
        <mc:AlternateContent xmlns:mc="http://schemas.openxmlformats.org/markup-compatibility/2006">
          <mc:Choice Requires="x14">
            <control shapeId="18813" r:id="rId280" name="Check Box 381">
              <controlPr defaultSize="0" autoFill="0" autoLine="0" autoPict="0">
                <anchor moveWithCells="1">
                  <from>
                    <xdr:col>32</xdr:col>
                    <xdr:colOff>0</xdr:colOff>
                    <xdr:row>10</xdr:row>
                    <xdr:rowOff>107950</xdr:rowOff>
                  </from>
                  <to>
                    <xdr:col>32</xdr:col>
                    <xdr:colOff>203200</xdr:colOff>
                    <xdr:row>12</xdr:row>
                    <xdr:rowOff>12700</xdr:rowOff>
                  </to>
                </anchor>
              </controlPr>
            </control>
          </mc:Choice>
        </mc:AlternateContent>
        <mc:AlternateContent xmlns:mc="http://schemas.openxmlformats.org/markup-compatibility/2006">
          <mc:Choice Requires="x14">
            <control shapeId="18814" r:id="rId281" name="Check Box 382">
              <controlPr defaultSize="0" autoFill="0" autoLine="0" autoPict="0">
                <anchor moveWithCells="1">
                  <from>
                    <xdr:col>32</xdr:col>
                    <xdr:colOff>0</xdr:colOff>
                    <xdr:row>11</xdr:row>
                    <xdr:rowOff>107950</xdr:rowOff>
                  </from>
                  <to>
                    <xdr:col>32</xdr:col>
                    <xdr:colOff>203200</xdr:colOff>
                    <xdr:row>13</xdr:row>
                    <xdr:rowOff>12700</xdr:rowOff>
                  </to>
                </anchor>
              </controlPr>
            </control>
          </mc:Choice>
        </mc:AlternateContent>
        <mc:AlternateContent xmlns:mc="http://schemas.openxmlformats.org/markup-compatibility/2006">
          <mc:Choice Requires="x14">
            <control shapeId="18815" r:id="rId282" name="Check Box 383">
              <controlPr defaultSize="0" autoFill="0" autoLine="0" autoPict="0">
                <anchor moveWithCells="1">
                  <from>
                    <xdr:col>32</xdr:col>
                    <xdr:colOff>0</xdr:colOff>
                    <xdr:row>12</xdr:row>
                    <xdr:rowOff>107950</xdr:rowOff>
                  </from>
                  <to>
                    <xdr:col>32</xdr:col>
                    <xdr:colOff>203200</xdr:colOff>
                    <xdr:row>14</xdr:row>
                    <xdr:rowOff>12700</xdr:rowOff>
                  </to>
                </anchor>
              </controlPr>
            </control>
          </mc:Choice>
        </mc:AlternateContent>
        <mc:AlternateContent xmlns:mc="http://schemas.openxmlformats.org/markup-compatibility/2006">
          <mc:Choice Requires="x14">
            <control shapeId="18816" r:id="rId283" name="Check Box 384">
              <controlPr defaultSize="0" autoFill="0" autoLine="0" autoPict="0">
                <anchor moveWithCells="1">
                  <from>
                    <xdr:col>32</xdr:col>
                    <xdr:colOff>0</xdr:colOff>
                    <xdr:row>13</xdr:row>
                    <xdr:rowOff>107950</xdr:rowOff>
                  </from>
                  <to>
                    <xdr:col>32</xdr:col>
                    <xdr:colOff>203200</xdr:colOff>
                    <xdr:row>15</xdr:row>
                    <xdr:rowOff>12700</xdr:rowOff>
                  </to>
                </anchor>
              </controlPr>
            </control>
          </mc:Choice>
        </mc:AlternateContent>
        <mc:AlternateContent xmlns:mc="http://schemas.openxmlformats.org/markup-compatibility/2006">
          <mc:Choice Requires="x14">
            <control shapeId="18817" r:id="rId284" name="Check Box 385">
              <controlPr defaultSize="0" autoFill="0" autoLine="0" autoPict="0">
                <anchor moveWithCells="1">
                  <from>
                    <xdr:col>32</xdr:col>
                    <xdr:colOff>0</xdr:colOff>
                    <xdr:row>14</xdr:row>
                    <xdr:rowOff>107950</xdr:rowOff>
                  </from>
                  <to>
                    <xdr:col>32</xdr:col>
                    <xdr:colOff>203200</xdr:colOff>
                    <xdr:row>16</xdr:row>
                    <xdr:rowOff>12700</xdr:rowOff>
                  </to>
                </anchor>
              </controlPr>
            </control>
          </mc:Choice>
        </mc:AlternateContent>
        <mc:AlternateContent xmlns:mc="http://schemas.openxmlformats.org/markup-compatibility/2006">
          <mc:Choice Requires="x14">
            <control shapeId="18818" r:id="rId285" name="Check Box 386">
              <controlPr defaultSize="0" autoFill="0" autoLine="0" autoPict="0">
                <anchor moveWithCells="1">
                  <from>
                    <xdr:col>32</xdr:col>
                    <xdr:colOff>0</xdr:colOff>
                    <xdr:row>15</xdr:row>
                    <xdr:rowOff>107950</xdr:rowOff>
                  </from>
                  <to>
                    <xdr:col>32</xdr:col>
                    <xdr:colOff>203200</xdr:colOff>
                    <xdr:row>17</xdr:row>
                    <xdr:rowOff>12700</xdr:rowOff>
                  </to>
                </anchor>
              </controlPr>
            </control>
          </mc:Choice>
        </mc:AlternateContent>
        <mc:AlternateContent xmlns:mc="http://schemas.openxmlformats.org/markup-compatibility/2006">
          <mc:Choice Requires="x14">
            <control shapeId="18819" r:id="rId286" name="Check Box 387">
              <controlPr defaultSize="0" autoFill="0" autoLine="0" autoPict="0">
                <anchor moveWithCells="1">
                  <from>
                    <xdr:col>32</xdr:col>
                    <xdr:colOff>0</xdr:colOff>
                    <xdr:row>16</xdr:row>
                    <xdr:rowOff>107950</xdr:rowOff>
                  </from>
                  <to>
                    <xdr:col>32</xdr:col>
                    <xdr:colOff>203200</xdr:colOff>
                    <xdr:row>18</xdr:row>
                    <xdr:rowOff>12700</xdr:rowOff>
                  </to>
                </anchor>
              </controlPr>
            </control>
          </mc:Choice>
        </mc:AlternateContent>
        <mc:AlternateContent xmlns:mc="http://schemas.openxmlformats.org/markup-compatibility/2006">
          <mc:Choice Requires="x14">
            <control shapeId="18820" r:id="rId287" name="Check Box 388">
              <controlPr defaultSize="0" autoFill="0" autoLine="0" autoPict="0">
                <anchor moveWithCells="1">
                  <from>
                    <xdr:col>32</xdr:col>
                    <xdr:colOff>0</xdr:colOff>
                    <xdr:row>17</xdr:row>
                    <xdr:rowOff>107950</xdr:rowOff>
                  </from>
                  <to>
                    <xdr:col>32</xdr:col>
                    <xdr:colOff>203200</xdr:colOff>
                    <xdr:row>19</xdr:row>
                    <xdr:rowOff>12700</xdr:rowOff>
                  </to>
                </anchor>
              </controlPr>
            </control>
          </mc:Choice>
        </mc:AlternateContent>
        <mc:AlternateContent xmlns:mc="http://schemas.openxmlformats.org/markup-compatibility/2006">
          <mc:Choice Requires="x14">
            <control shapeId="18821" r:id="rId288" name="Check Box 389">
              <controlPr defaultSize="0" autoFill="0" autoLine="0" autoPict="0">
                <anchor moveWithCells="1">
                  <from>
                    <xdr:col>32</xdr:col>
                    <xdr:colOff>0</xdr:colOff>
                    <xdr:row>18</xdr:row>
                    <xdr:rowOff>107950</xdr:rowOff>
                  </from>
                  <to>
                    <xdr:col>32</xdr:col>
                    <xdr:colOff>203200</xdr:colOff>
                    <xdr:row>20</xdr:row>
                    <xdr:rowOff>12700</xdr:rowOff>
                  </to>
                </anchor>
              </controlPr>
            </control>
          </mc:Choice>
        </mc:AlternateContent>
        <mc:AlternateContent xmlns:mc="http://schemas.openxmlformats.org/markup-compatibility/2006">
          <mc:Choice Requires="x14">
            <control shapeId="18822" r:id="rId289" name="Check Box 390">
              <controlPr defaultSize="0" autoFill="0" autoLine="0" autoPict="0">
                <anchor moveWithCells="1">
                  <from>
                    <xdr:col>32</xdr:col>
                    <xdr:colOff>0</xdr:colOff>
                    <xdr:row>19</xdr:row>
                    <xdr:rowOff>107950</xdr:rowOff>
                  </from>
                  <to>
                    <xdr:col>32</xdr:col>
                    <xdr:colOff>203200</xdr:colOff>
                    <xdr:row>21</xdr:row>
                    <xdr:rowOff>12700</xdr:rowOff>
                  </to>
                </anchor>
              </controlPr>
            </control>
          </mc:Choice>
        </mc:AlternateContent>
        <mc:AlternateContent xmlns:mc="http://schemas.openxmlformats.org/markup-compatibility/2006">
          <mc:Choice Requires="x14">
            <control shapeId="18823" r:id="rId290" name="Check Box 391">
              <controlPr defaultSize="0" autoFill="0" autoLine="0" autoPict="0">
                <anchor moveWithCells="1">
                  <from>
                    <xdr:col>32</xdr:col>
                    <xdr:colOff>0</xdr:colOff>
                    <xdr:row>20</xdr:row>
                    <xdr:rowOff>107950</xdr:rowOff>
                  </from>
                  <to>
                    <xdr:col>32</xdr:col>
                    <xdr:colOff>203200</xdr:colOff>
                    <xdr:row>22</xdr:row>
                    <xdr:rowOff>12700</xdr:rowOff>
                  </to>
                </anchor>
              </controlPr>
            </control>
          </mc:Choice>
        </mc:AlternateContent>
        <mc:AlternateContent xmlns:mc="http://schemas.openxmlformats.org/markup-compatibility/2006">
          <mc:Choice Requires="x14">
            <control shapeId="18824" r:id="rId291" name="Check Box 392">
              <controlPr defaultSize="0" autoFill="0" autoLine="0" autoPict="0">
                <anchor moveWithCells="1">
                  <from>
                    <xdr:col>32</xdr:col>
                    <xdr:colOff>0</xdr:colOff>
                    <xdr:row>21</xdr:row>
                    <xdr:rowOff>107950</xdr:rowOff>
                  </from>
                  <to>
                    <xdr:col>32</xdr:col>
                    <xdr:colOff>203200</xdr:colOff>
                    <xdr:row>23</xdr:row>
                    <xdr:rowOff>12700</xdr:rowOff>
                  </to>
                </anchor>
              </controlPr>
            </control>
          </mc:Choice>
        </mc:AlternateContent>
        <mc:AlternateContent xmlns:mc="http://schemas.openxmlformats.org/markup-compatibility/2006">
          <mc:Choice Requires="x14">
            <control shapeId="18825" r:id="rId292" name="Check Box 393">
              <controlPr defaultSize="0" autoFill="0" autoLine="0" autoPict="0">
                <anchor moveWithCells="1">
                  <from>
                    <xdr:col>32</xdr:col>
                    <xdr:colOff>0</xdr:colOff>
                    <xdr:row>22</xdr:row>
                    <xdr:rowOff>107950</xdr:rowOff>
                  </from>
                  <to>
                    <xdr:col>32</xdr:col>
                    <xdr:colOff>203200</xdr:colOff>
                    <xdr:row>24</xdr:row>
                    <xdr:rowOff>12700</xdr:rowOff>
                  </to>
                </anchor>
              </controlPr>
            </control>
          </mc:Choice>
        </mc:AlternateContent>
        <mc:AlternateContent xmlns:mc="http://schemas.openxmlformats.org/markup-compatibility/2006">
          <mc:Choice Requires="x14">
            <control shapeId="18826" r:id="rId293" name="Check Box 394">
              <controlPr defaultSize="0" autoFill="0" autoLine="0" autoPict="0">
                <anchor moveWithCells="1">
                  <from>
                    <xdr:col>32</xdr:col>
                    <xdr:colOff>0</xdr:colOff>
                    <xdr:row>23</xdr:row>
                    <xdr:rowOff>107950</xdr:rowOff>
                  </from>
                  <to>
                    <xdr:col>32</xdr:col>
                    <xdr:colOff>203200</xdr:colOff>
                    <xdr:row>25</xdr:row>
                    <xdr:rowOff>12700</xdr:rowOff>
                  </to>
                </anchor>
              </controlPr>
            </control>
          </mc:Choice>
        </mc:AlternateContent>
        <mc:AlternateContent xmlns:mc="http://schemas.openxmlformats.org/markup-compatibility/2006">
          <mc:Choice Requires="x14">
            <control shapeId="18827" r:id="rId294" name="Check Box 395">
              <controlPr defaultSize="0" autoFill="0" autoLine="0" autoPict="0">
                <anchor moveWithCells="1">
                  <from>
                    <xdr:col>32</xdr:col>
                    <xdr:colOff>0</xdr:colOff>
                    <xdr:row>24</xdr:row>
                    <xdr:rowOff>107950</xdr:rowOff>
                  </from>
                  <to>
                    <xdr:col>32</xdr:col>
                    <xdr:colOff>203200</xdr:colOff>
                    <xdr:row>26</xdr:row>
                    <xdr:rowOff>12700</xdr:rowOff>
                  </to>
                </anchor>
              </controlPr>
            </control>
          </mc:Choice>
        </mc:AlternateContent>
        <mc:AlternateContent xmlns:mc="http://schemas.openxmlformats.org/markup-compatibility/2006">
          <mc:Choice Requires="x14">
            <control shapeId="18828" r:id="rId295" name="Check Box 396">
              <controlPr defaultSize="0" autoFill="0" autoLine="0" autoPict="0">
                <anchor moveWithCells="1">
                  <from>
                    <xdr:col>32</xdr:col>
                    <xdr:colOff>0</xdr:colOff>
                    <xdr:row>25</xdr:row>
                    <xdr:rowOff>107950</xdr:rowOff>
                  </from>
                  <to>
                    <xdr:col>32</xdr:col>
                    <xdr:colOff>203200</xdr:colOff>
                    <xdr:row>27</xdr:row>
                    <xdr:rowOff>12700</xdr:rowOff>
                  </to>
                </anchor>
              </controlPr>
            </control>
          </mc:Choice>
        </mc:AlternateContent>
        <mc:AlternateContent xmlns:mc="http://schemas.openxmlformats.org/markup-compatibility/2006">
          <mc:Choice Requires="x14">
            <control shapeId="18829" r:id="rId296" name="Check Box 397">
              <controlPr defaultSize="0" autoFill="0" autoLine="0" autoPict="0">
                <anchor moveWithCells="1">
                  <from>
                    <xdr:col>32</xdr:col>
                    <xdr:colOff>0</xdr:colOff>
                    <xdr:row>26</xdr:row>
                    <xdr:rowOff>107950</xdr:rowOff>
                  </from>
                  <to>
                    <xdr:col>32</xdr:col>
                    <xdr:colOff>203200</xdr:colOff>
                    <xdr:row>28</xdr:row>
                    <xdr:rowOff>12700</xdr:rowOff>
                  </to>
                </anchor>
              </controlPr>
            </control>
          </mc:Choice>
        </mc:AlternateContent>
        <mc:AlternateContent xmlns:mc="http://schemas.openxmlformats.org/markup-compatibility/2006">
          <mc:Choice Requires="x14">
            <control shapeId="18830" r:id="rId297" name="Check Box 398">
              <controlPr defaultSize="0" autoFill="0" autoLine="0" autoPict="0">
                <anchor moveWithCells="1">
                  <from>
                    <xdr:col>32</xdr:col>
                    <xdr:colOff>0</xdr:colOff>
                    <xdr:row>27</xdr:row>
                    <xdr:rowOff>107950</xdr:rowOff>
                  </from>
                  <to>
                    <xdr:col>32</xdr:col>
                    <xdr:colOff>203200</xdr:colOff>
                    <xdr:row>29</xdr:row>
                    <xdr:rowOff>12700</xdr:rowOff>
                  </to>
                </anchor>
              </controlPr>
            </control>
          </mc:Choice>
        </mc:AlternateContent>
        <mc:AlternateContent xmlns:mc="http://schemas.openxmlformats.org/markup-compatibility/2006">
          <mc:Choice Requires="x14">
            <control shapeId="18831" r:id="rId298" name="Check Box 399">
              <controlPr defaultSize="0" autoFill="0" autoLine="0" autoPict="0">
                <anchor moveWithCells="1">
                  <from>
                    <xdr:col>32</xdr:col>
                    <xdr:colOff>0</xdr:colOff>
                    <xdr:row>28</xdr:row>
                    <xdr:rowOff>107950</xdr:rowOff>
                  </from>
                  <to>
                    <xdr:col>32</xdr:col>
                    <xdr:colOff>203200</xdr:colOff>
                    <xdr:row>30</xdr:row>
                    <xdr:rowOff>12700</xdr:rowOff>
                  </to>
                </anchor>
              </controlPr>
            </control>
          </mc:Choice>
        </mc:AlternateContent>
        <mc:AlternateContent xmlns:mc="http://schemas.openxmlformats.org/markup-compatibility/2006">
          <mc:Choice Requires="x14">
            <control shapeId="18832" r:id="rId299" name="Check Box 400">
              <controlPr defaultSize="0" autoFill="0" autoLine="0" autoPict="0">
                <anchor moveWithCells="1">
                  <from>
                    <xdr:col>32</xdr:col>
                    <xdr:colOff>0</xdr:colOff>
                    <xdr:row>29</xdr:row>
                    <xdr:rowOff>107950</xdr:rowOff>
                  </from>
                  <to>
                    <xdr:col>32</xdr:col>
                    <xdr:colOff>203200</xdr:colOff>
                    <xdr:row>31</xdr:row>
                    <xdr:rowOff>12700</xdr:rowOff>
                  </to>
                </anchor>
              </controlPr>
            </control>
          </mc:Choice>
        </mc:AlternateContent>
        <mc:AlternateContent xmlns:mc="http://schemas.openxmlformats.org/markup-compatibility/2006">
          <mc:Choice Requires="x14">
            <control shapeId="18833" r:id="rId300" name="Check Box 401">
              <controlPr defaultSize="0" autoFill="0" autoLine="0" autoPict="0">
                <anchor moveWithCells="1">
                  <from>
                    <xdr:col>32</xdr:col>
                    <xdr:colOff>0</xdr:colOff>
                    <xdr:row>30</xdr:row>
                    <xdr:rowOff>107950</xdr:rowOff>
                  </from>
                  <to>
                    <xdr:col>32</xdr:col>
                    <xdr:colOff>203200</xdr:colOff>
                    <xdr:row>32</xdr:row>
                    <xdr:rowOff>12700</xdr:rowOff>
                  </to>
                </anchor>
              </controlPr>
            </control>
          </mc:Choice>
        </mc:AlternateContent>
        <mc:AlternateContent xmlns:mc="http://schemas.openxmlformats.org/markup-compatibility/2006">
          <mc:Choice Requires="x14">
            <control shapeId="18834" r:id="rId301" name="Check Box 402">
              <controlPr defaultSize="0" autoFill="0" autoLine="0" autoPict="0">
                <anchor moveWithCells="1">
                  <from>
                    <xdr:col>32</xdr:col>
                    <xdr:colOff>0</xdr:colOff>
                    <xdr:row>31</xdr:row>
                    <xdr:rowOff>107950</xdr:rowOff>
                  </from>
                  <to>
                    <xdr:col>32</xdr:col>
                    <xdr:colOff>203200</xdr:colOff>
                    <xdr:row>33</xdr:row>
                    <xdr:rowOff>12700</xdr:rowOff>
                  </to>
                </anchor>
              </controlPr>
            </control>
          </mc:Choice>
        </mc:AlternateContent>
        <mc:AlternateContent xmlns:mc="http://schemas.openxmlformats.org/markup-compatibility/2006">
          <mc:Choice Requires="x14">
            <control shapeId="18835" r:id="rId302" name="Check Box 403">
              <controlPr defaultSize="0" autoFill="0" autoLine="0" autoPict="0">
                <anchor moveWithCells="1">
                  <from>
                    <xdr:col>32</xdr:col>
                    <xdr:colOff>0</xdr:colOff>
                    <xdr:row>32</xdr:row>
                    <xdr:rowOff>107950</xdr:rowOff>
                  </from>
                  <to>
                    <xdr:col>32</xdr:col>
                    <xdr:colOff>203200</xdr:colOff>
                    <xdr:row>34</xdr:row>
                    <xdr:rowOff>12700</xdr:rowOff>
                  </to>
                </anchor>
              </controlPr>
            </control>
          </mc:Choice>
        </mc:AlternateContent>
        <mc:AlternateContent xmlns:mc="http://schemas.openxmlformats.org/markup-compatibility/2006">
          <mc:Choice Requires="x14">
            <control shapeId="18836" r:id="rId303" name="Check Box 404">
              <controlPr defaultSize="0" autoFill="0" autoLine="0" autoPict="0">
                <anchor moveWithCells="1">
                  <from>
                    <xdr:col>32</xdr:col>
                    <xdr:colOff>0</xdr:colOff>
                    <xdr:row>33</xdr:row>
                    <xdr:rowOff>107950</xdr:rowOff>
                  </from>
                  <to>
                    <xdr:col>32</xdr:col>
                    <xdr:colOff>203200</xdr:colOff>
                    <xdr:row>35</xdr:row>
                    <xdr:rowOff>12700</xdr:rowOff>
                  </to>
                </anchor>
              </controlPr>
            </control>
          </mc:Choice>
        </mc:AlternateContent>
        <mc:AlternateContent xmlns:mc="http://schemas.openxmlformats.org/markup-compatibility/2006">
          <mc:Choice Requires="x14">
            <control shapeId="18837" r:id="rId304" name="Check Box 405">
              <controlPr defaultSize="0" autoFill="0" autoLine="0" autoPict="0">
                <anchor moveWithCells="1">
                  <from>
                    <xdr:col>32</xdr:col>
                    <xdr:colOff>0</xdr:colOff>
                    <xdr:row>34</xdr:row>
                    <xdr:rowOff>107950</xdr:rowOff>
                  </from>
                  <to>
                    <xdr:col>32</xdr:col>
                    <xdr:colOff>203200</xdr:colOff>
                    <xdr:row>36</xdr:row>
                    <xdr:rowOff>12700</xdr:rowOff>
                  </to>
                </anchor>
              </controlPr>
            </control>
          </mc:Choice>
        </mc:AlternateContent>
        <mc:AlternateContent xmlns:mc="http://schemas.openxmlformats.org/markup-compatibility/2006">
          <mc:Choice Requires="x14">
            <control shapeId="18838" r:id="rId305" name="Check Box 406">
              <controlPr defaultSize="0" autoFill="0" autoLine="0" autoPict="0">
                <anchor moveWithCells="1">
                  <from>
                    <xdr:col>32</xdr:col>
                    <xdr:colOff>0</xdr:colOff>
                    <xdr:row>35</xdr:row>
                    <xdr:rowOff>107950</xdr:rowOff>
                  </from>
                  <to>
                    <xdr:col>32</xdr:col>
                    <xdr:colOff>203200</xdr:colOff>
                    <xdr:row>37</xdr:row>
                    <xdr:rowOff>12700</xdr:rowOff>
                  </to>
                </anchor>
              </controlPr>
            </control>
          </mc:Choice>
        </mc:AlternateContent>
        <mc:AlternateContent xmlns:mc="http://schemas.openxmlformats.org/markup-compatibility/2006">
          <mc:Choice Requires="x14">
            <control shapeId="18839" r:id="rId306" name="Check Box 407">
              <controlPr defaultSize="0" autoFill="0" autoLine="0" autoPict="0">
                <anchor moveWithCells="1">
                  <from>
                    <xdr:col>32</xdr:col>
                    <xdr:colOff>0</xdr:colOff>
                    <xdr:row>36</xdr:row>
                    <xdr:rowOff>107950</xdr:rowOff>
                  </from>
                  <to>
                    <xdr:col>32</xdr:col>
                    <xdr:colOff>203200</xdr:colOff>
                    <xdr:row>38</xdr:row>
                    <xdr:rowOff>12700</xdr:rowOff>
                  </to>
                </anchor>
              </controlPr>
            </control>
          </mc:Choice>
        </mc:AlternateContent>
        <mc:AlternateContent xmlns:mc="http://schemas.openxmlformats.org/markup-compatibility/2006">
          <mc:Choice Requires="x14">
            <control shapeId="18840" r:id="rId307" name="Check Box 408">
              <controlPr defaultSize="0" autoFill="0" autoLine="0" autoPict="0">
                <anchor moveWithCells="1">
                  <from>
                    <xdr:col>32</xdr:col>
                    <xdr:colOff>0</xdr:colOff>
                    <xdr:row>37</xdr:row>
                    <xdr:rowOff>107950</xdr:rowOff>
                  </from>
                  <to>
                    <xdr:col>32</xdr:col>
                    <xdr:colOff>203200</xdr:colOff>
                    <xdr:row>39</xdr:row>
                    <xdr:rowOff>12700</xdr:rowOff>
                  </to>
                </anchor>
              </controlPr>
            </control>
          </mc:Choice>
        </mc:AlternateContent>
        <mc:AlternateContent xmlns:mc="http://schemas.openxmlformats.org/markup-compatibility/2006">
          <mc:Choice Requires="x14">
            <control shapeId="18841" r:id="rId308" name="Check Box 409">
              <controlPr defaultSize="0" autoFill="0" autoLine="0" autoPict="0">
                <anchor moveWithCells="1">
                  <from>
                    <xdr:col>32</xdr:col>
                    <xdr:colOff>0</xdr:colOff>
                    <xdr:row>38</xdr:row>
                    <xdr:rowOff>107950</xdr:rowOff>
                  </from>
                  <to>
                    <xdr:col>32</xdr:col>
                    <xdr:colOff>203200</xdr:colOff>
                    <xdr:row>40</xdr:row>
                    <xdr:rowOff>12700</xdr:rowOff>
                  </to>
                </anchor>
              </controlPr>
            </control>
          </mc:Choice>
        </mc:AlternateContent>
        <mc:AlternateContent xmlns:mc="http://schemas.openxmlformats.org/markup-compatibility/2006">
          <mc:Choice Requires="x14">
            <control shapeId="18842" r:id="rId309" name="Check Box 410">
              <controlPr defaultSize="0" autoFill="0" autoLine="0" autoPict="0">
                <anchor moveWithCells="1">
                  <from>
                    <xdr:col>32</xdr:col>
                    <xdr:colOff>0</xdr:colOff>
                    <xdr:row>39</xdr:row>
                    <xdr:rowOff>107950</xdr:rowOff>
                  </from>
                  <to>
                    <xdr:col>32</xdr:col>
                    <xdr:colOff>203200</xdr:colOff>
                    <xdr:row>41</xdr:row>
                    <xdr:rowOff>12700</xdr:rowOff>
                  </to>
                </anchor>
              </controlPr>
            </control>
          </mc:Choice>
        </mc:AlternateContent>
        <mc:AlternateContent xmlns:mc="http://schemas.openxmlformats.org/markup-compatibility/2006">
          <mc:Choice Requires="x14">
            <control shapeId="18843" r:id="rId310" name="Check Box 411">
              <controlPr defaultSize="0" autoFill="0" autoLine="0" autoPict="0">
                <anchor moveWithCells="1">
                  <from>
                    <xdr:col>32</xdr:col>
                    <xdr:colOff>0</xdr:colOff>
                    <xdr:row>41</xdr:row>
                    <xdr:rowOff>107950</xdr:rowOff>
                  </from>
                  <to>
                    <xdr:col>32</xdr:col>
                    <xdr:colOff>203200</xdr:colOff>
                    <xdr:row>43</xdr:row>
                    <xdr:rowOff>12700</xdr:rowOff>
                  </to>
                </anchor>
              </controlPr>
            </control>
          </mc:Choice>
        </mc:AlternateContent>
        <mc:AlternateContent xmlns:mc="http://schemas.openxmlformats.org/markup-compatibility/2006">
          <mc:Choice Requires="x14">
            <control shapeId="18844" r:id="rId311" name="Check Box 412">
              <controlPr defaultSize="0" autoFill="0" autoLine="0" autoPict="0">
                <anchor moveWithCells="1">
                  <from>
                    <xdr:col>32</xdr:col>
                    <xdr:colOff>0</xdr:colOff>
                    <xdr:row>40</xdr:row>
                    <xdr:rowOff>107950</xdr:rowOff>
                  </from>
                  <to>
                    <xdr:col>32</xdr:col>
                    <xdr:colOff>203200</xdr:colOff>
                    <xdr:row>42</xdr:row>
                    <xdr:rowOff>12700</xdr:rowOff>
                  </to>
                </anchor>
              </controlPr>
            </control>
          </mc:Choice>
        </mc:AlternateContent>
        <mc:AlternateContent xmlns:mc="http://schemas.openxmlformats.org/markup-compatibility/2006">
          <mc:Choice Requires="x14">
            <control shapeId="18845" r:id="rId312" name="Check Box 413">
              <controlPr defaultSize="0" autoFill="0" autoLine="0" autoPict="0">
                <anchor moveWithCells="1">
                  <from>
                    <xdr:col>32</xdr:col>
                    <xdr:colOff>0</xdr:colOff>
                    <xdr:row>42</xdr:row>
                    <xdr:rowOff>107950</xdr:rowOff>
                  </from>
                  <to>
                    <xdr:col>32</xdr:col>
                    <xdr:colOff>203200</xdr:colOff>
                    <xdr:row>44</xdr:row>
                    <xdr:rowOff>12700</xdr:rowOff>
                  </to>
                </anchor>
              </controlPr>
            </control>
          </mc:Choice>
        </mc:AlternateContent>
        <mc:AlternateContent xmlns:mc="http://schemas.openxmlformats.org/markup-compatibility/2006">
          <mc:Choice Requires="x14">
            <control shapeId="18846" r:id="rId313" name="Check Box 414">
              <controlPr defaultSize="0" autoFill="0" autoLine="0" autoPict="0">
                <anchor moveWithCells="1">
                  <from>
                    <xdr:col>32</xdr:col>
                    <xdr:colOff>0</xdr:colOff>
                    <xdr:row>43</xdr:row>
                    <xdr:rowOff>107950</xdr:rowOff>
                  </from>
                  <to>
                    <xdr:col>32</xdr:col>
                    <xdr:colOff>203200</xdr:colOff>
                    <xdr:row>45</xdr:row>
                    <xdr:rowOff>12700</xdr:rowOff>
                  </to>
                </anchor>
              </controlPr>
            </control>
          </mc:Choice>
        </mc:AlternateContent>
        <mc:AlternateContent xmlns:mc="http://schemas.openxmlformats.org/markup-compatibility/2006">
          <mc:Choice Requires="x14">
            <control shapeId="18847" r:id="rId314" name="Check Box 415">
              <controlPr defaultSize="0" autoFill="0" autoLine="0" autoPict="0">
                <anchor moveWithCells="1">
                  <from>
                    <xdr:col>32</xdr:col>
                    <xdr:colOff>0</xdr:colOff>
                    <xdr:row>44</xdr:row>
                    <xdr:rowOff>107950</xdr:rowOff>
                  </from>
                  <to>
                    <xdr:col>32</xdr:col>
                    <xdr:colOff>203200</xdr:colOff>
                    <xdr:row>46</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C371"/>
  <sheetViews>
    <sheetView workbookViewId="0">
      <selection activeCell="D2" sqref="D2"/>
    </sheetView>
  </sheetViews>
  <sheetFormatPr baseColWidth="10" defaultColWidth="11.453125" defaultRowHeight="12.5" x14ac:dyDescent="0.25"/>
  <cols>
    <col min="1" max="1" width="11.453125" customWidth="1"/>
    <col min="2" max="2" width="11.453125" style="205" customWidth="1"/>
  </cols>
  <sheetData>
    <row r="1" spans="1:107" ht="13" x14ac:dyDescent="0.3">
      <c r="A1" s="206">
        <v>1</v>
      </c>
      <c r="B1" s="207" t="s">
        <v>158</v>
      </c>
      <c r="D1" s="208" t="s">
        <v>354</v>
      </c>
      <c r="E1" s="206"/>
      <c r="F1" s="206"/>
      <c r="G1" s="206"/>
    </row>
    <row r="2" spans="1:107" ht="13" x14ac:dyDescent="0.3">
      <c r="A2" s="206">
        <f>A1+1</f>
        <v>2</v>
      </c>
      <c r="B2" s="207" t="s">
        <v>159</v>
      </c>
      <c r="D2" s="208" t="s">
        <v>355</v>
      </c>
      <c r="E2" s="206"/>
      <c r="F2" s="206"/>
      <c r="G2" s="206"/>
    </row>
    <row r="3" spans="1:107" x14ac:dyDescent="0.25">
      <c r="A3" s="206">
        <f t="shared" ref="A3:A66" si="0">A2+1</f>
        <v>3</v>
      </c>
      <c r="B3" s="207" t="s">
        <v>251</v>
      </c>
    </row>
    <row r="4" spans="1:107" x14ac:dyDescent="0.25">
      <c r="A4" s="206">
        <f t="shared" si="0"/>
        <v>4</v>
      </c>
      <c r="B4" s="207" t="s">
        <v>252</v>
      </c>
      <c r="D4" s="207">
        <v>1</v>
      </c>
      <c r="E4" s="207">
        <f>D4+1</f>
        <v>2</v>
      </c>
      <c r="F4" s="207">
        <f t="shared" ref="F4:BD4" si="1">E4+1</f>
        <v>3</v>
      </c>
      <c r="G4" s="207">
        <f t="shared" si="1"/>
        <v>4</v>
      </c>
      <c r="H4" s="207">
        <f t="shared" si="1"/>
        <v>5</v>
      </c>
      <c r="I4" s="207">
        <f t="shared" si="1"/>
        <v>6</v>
      </c>
      <c r="J4" s="207">
        <f t="shared" si="1"/>
        <v>7</v>
      </c>
      <c r="K4" s="207">
        <f t="shared" si="1"/>
        <v>8</v>
      </c>
      <c r="L4" s="207">
        <f t="shared" si="1"/>
        <v>9</v>
      </c>
      <c r="M4" s="207">
        <f t="shared" si="1"/>
        <v>10</v>
      </c>
      <c r="N4" s="207">
        <f t="shared" si="1"/>
        <v>11</v>
      </c>
      <c r="O4" s="207">
        <f t="shared" si="1"/>
        <v>12</v>
      </c>
      <c r="P4" s="207">
        <f t="shared" si="1"/>
        <v>13</v>
      </c>
      <c r="Q4" s="207">
        <f t="shared" si="1"/>
        <v>14</v>
      </c>
      <c r="R4" s="207">
        <f t="shared" si="1"/>
        <v>15</v>
      </c>
      <c r="S4" s="207">
        <f t="shared" si="1"/>
        <v>16</v>
      </c>
      <c r="T4" s="207">
        <f t="shared" si="1"/>
        <v>17</v>
      </c>
      <c r="U4" s="207">
        <f t="shared" si="1"/>
        <v>18</v>
      </c>
      <c r="V4" s="207">
        <f t="shared" si="1"/>
        <v>19</v>
      </c>
      <c r="W4" s="207">
        <f t="shared" si="1"/>
        <v>20</v>
      </c>
      <c r="X4" s="207">
        <f t="shared" si="1"/>
        <v>21</v>
      </c>
      <c r="Y4" s="207">
        <f t="shared" si="1"/>
        <v>22</v>
      </c>
      <c r="Z4" s="207">
        <f t="shared" si="1"/>
        <v>23</v>
      </c>
      <c r="AA4" s="207">
        <f t="shared" si="1"/>
        <v>24</v>
      </c>
      <c r="AB4" s="207">
        <f t="shared" si="1"/>
        <v>25</v>
      </c>
      <c r="AC4" s="207">
        <f t="shared" si="1"/>
        <v>26</v>
      </c>
      <c r="AD4" s="207">
        <f t="shared" si="1"/>
        <v>27</v>
      </c>
      <c r="AE4" s="207">
        <f t="shared" si="1"/>
        <v>28</v>
      </c>
      <c r="AF4" s="207">
        <f t="shared" si="1"/>
        <v>29</v>
      </c>
      <c r="AG4" s="207">
        <f t="shared" si="1"/>
        <v>30</v>
      </c>
      <c r="AH4" s="207">
        <f t="shared" si="1"/>
        <v>31</v>
      </c>
      <c r="AI4" s="207">
        <f t="shared" si="1"/>
        <v>32</v>
      </c>
      <c r="AJ4" s="207">
        <f t="shared" si="1"/>
        <v>33</v>
      </c>
      <c r="AK4" s="207">
        <f t="shared" si="1"/>
        <v>34</v>
      </c>
      <c r="AL4" s="207">
        <f t="shared" si="1"/>
        <v>35</v>
      </c>
      <c r="AM4" s="207">
        <f t="shared" si="1"/>
        <v>36</v>
      </c>
      <c r="AN4" s="207">
        <f t="shared" si="1"/>
        <v>37</v>
      </c>
      <c r="AO4" s="207">
        <f t="shared" si="1"/>
        <v>38</v>
      </c>
      <c r="AP4" s="207">
        <f t="shared" si="1"/>
        <v>39</v>
      </c>
      <c r="AQ4" s="207">
        <f t="shared" si="1"/>
        <v>40</v>
      </c>
      <c r="AR4" s="207">
        <f t="shared" si="1"/>
        <v>41</v>
      </c>
      <c r="AS4" s="207">
        <f t="shared" si="1"/>
        <v>42</v>
      </c>
      <c r="AT4" s="207">
        <f t="shared" si="1"/>
        <v>43</v>
      </c>
      <c r="AU4" s="207">
        <f t="shared" si="1"/>
        <v>44</v>
      </c>
      <c r="AV4" s="207">
        <f t="shared" si="1"/>
        <v>45</v>
      </c>
      <c r="AW4" s="207">
        <f t="shared" si="1"/>
        <v>46</v>
      </c>
      <c r="AX4" s="207">
        <f t="shared" si="1"/>
        <v>47</v>
      </c>
      <c r="AY4" s="207">
        <f t="shared" si="1"/>
        <v>48</v>
      </c>
      <c r="AZ4" s="207">
        <f t="shared" si="1"/>
        <v>49</v>
      </c>
      <c r="BA4" s="207">
        <f t="shared" si="1"/>
        <v>50</v>
      </c>
      <c r="BB4" s="207">
        <f t="shared" si="1"/>
        <v>51</v>
      </c>
      <c r="BC4" s="207">
        <f t="shared" si="1"/>
        <v>52</v>
      </c>
      <c r="BD4" s="207">
        <f t="shared" si="1"/>
        <v>53</v>
      </c>
      <c r="BE4" s="207">
        <f t="shared" ref="BE4:CJ4" si="2">BD4+1</f>
        <v>54</v>
      </c>
      <c r="BF4" s="207">
        <f t="shared" si="2"/>
        <v>55</v>
      </c>
      <c r="BG4" s="207">
        <f t="shared" si="2"/>
        <v>56</v>
      </c>
      <c r="BH4" s="207">
        <f t="shared" si="2"/>
        <v>57</v>
      </c>
      <c r="BI4" s="207">
        <f t="shared" si="2"/>
        <v>58</v>
      </c>
      <c r="BJ4" s="207">
        <f t="shared" si="2"/>
        <v>59</v>
      </c>
      <c r="BK4" s="207">
        <f t="shared" si="2"/>
        <v>60</v>
      </c>
      <c r="BL4" s="207">
        <f t="shared" si="2"/>
        <v>61</v>
      </c>
      <c r="BM4" s="207">
        <f t="shared" si="2"/>
        <v>62</v>
      </c>
      <c r="BN4" s="207">
        <f t="shared" si="2"/>
        <v>63</v>
      </c>
      <c r="BO4" s="207">
        <f t="shared" si="2"/>
        <v>64</v>
      </c>
      <c r="BP4" s="207">
        <f t="shared" si="2"/>
        <v>65</v>
      </c>
      <c r="BQ4" s="207">
        <f t="shared" si="2"/>
        <v>66</v>
      </c>
      <c r="BR4" s="207">
        <f t="shared" si="2"/>
        <v>67</v>
      </c>
      <c r="BS4" s="207">
        <f t="shared" si="2"/>
        <v>68</v>
      </c>
      <c r="BT4" s="207">
        <f t="shared" si="2"/>
        <v>69</v>
      </c>
      <c r="BU4" s="207">
        <f t="shared" si="2"/>
        <v>70</v>
      </c>
      <c r="BV4" s="207">
        <f t="shared" si="2"/>
        <v>71</v>
      </c>
      <c r="BW4" s="207">
        <f t="shared" si="2"/>
        <v>72</v>
      </c>
      <c r="BX4" s="207">
        <f t="shared" si="2"/>
        <v>73</v>
      </c>
      <c r="BY4" s="207">
        <f t="shared" si="2"/>
        <v>74</v>
      </c>
      <c r="BZ4" s="207">
        <f t="shared" si="2"/>
        <v>75</v>
      </c>
      <c r="CA4" s="207">
        <f t="shared" si="2"/>
        <v>76</v>
      </c>
      <c r="CB4" s="207">
        <f t="shared" si="2"/>
        <v>77</v>
      </c>
      <c r="CC4" s="207">
        <f t="shared" si="2"/>
        <v>78</v>
      </c>
      <c r="CD4" s="207">
        <f t="shared" si="2"/>
        <v>79</v>
      </c>
      <c r="CE4" s="207">
        <f t="shared" si="2"/>
        <v>80</v>
      </c>
      <c r="CF4" s="207">
        <f t="shared" si="2"/>
        <v>81</v>
      </c>
      <c r="CG4" s="207">
        <f t="shared" si="2"/>
        <v>82</v>
      </c>
      <c r="CH4" s="207">
        <f t="shared" si="2"/>
        <v>83</v>
      </c>
      <c r="CI4" s="207">
        <f t="shared" si="2"/>
        <v>84</v>
      </c>
      <c r="CJ4" s="207">
        <f t="shared" si="2"/>
        <v>85</v>
      </c>
      <c r="CK4" s="207">
        <f t="shared" ref="CK4:DC4" si="3">CJ4+1</f>
        <v>86</v>
      </c>
      <c r="CL4" s="207">
        <f t="shared" si="3"/>
        <v>87</v>
      </c>
      <c r="CM4" s="207">
        <f t="shared" si="3"/>
        <v>88</v>
      </c>
      <c r="CN4" s="207">
        <f t="shared" si="3"/>
        <v>89</v>
      </c>
      <c r="CO4" s="207">
        <f t="shared" si="3"/>
        <v>90</v>
      </c>
      <c r="CP4" s="207">
        <f t="shared" si="3"/>
        <v>91</v>
      </c>
      <c r="CQ4" s="207">
        <f t="shared" si="3"/>
        <v>92</v>
      </c>
      <c r="CR4" s="207">
        <f t="shared" si="3"/>
        <v>93</v>
      </c>
      <c r="CS4" s="207">
        <f t="shared" si="3"/>
        <v>94</v>
      </c>
      <c r="CT4" s="207">
        <f t="shared" si="3"/>
        <v>95</v>
      </c>
      <c r="CU4" s="207">
        <f t="shared" si="3"/>
        <v>96</v>
      </c>
      <c r="CV4" s="207">
        <f t="shared" si="3"/>
        <v>97</v>
      </c>
      <c r="CW4" s="207">
        <f t="shared" si="3"/>
        <v>98</v>
      </c>
      <c r="CX4" s="207">
        <f t="shared" si="3"/>
        <v>99</v>
      </c>
      <c r="CY4" s="207">
        <f t="shared" si="3"/>
        <v>100</v>
      </c>
      <c r="CZ4" s="207">
        <f t="shared" si="3"/>
        <v>101</v>
      </c>
      <c r="DA4" s="207">
        <f t="shared" si="3"/>
        <v>102</v>
      </c>
      <c r="DB4" s="207">
        <f t="shared" si="3"/>
        <v>103</v>
      </c>
      <c r="DC4" s="207">
        <f t="shared" si="3"/>
        <v>104</v>
      </c>
    </row>
    <row r="5" spans="1:107" x14ac:dyDescent="0.25">
      <c r="A5" s="206">
        <f t="shared" si="0"/>
        <v>5</v>
      </c>
      <c r="B5" s="207" t="s">
        <v>253</v>
      </c>
      <c r="D5" s="207" t="s">
        <v>158</v>
      </c>
      <c r="E5" s="207" t="s">
        <v>159</v>
      </c>
      <c r="F5" s="207" t="s">
        <v>251</v>
      </c>
      <c r="G5" s="207" t="s">
        <v>252</v>
      </c>
      <c r="H5" s="207" t="s">
        <v>253</v>
      </c>
      <c r="I5" s="207" t="s">
        <v>254</v>
      </c>
      <c r="J5" s="207" t="s">
        <v>255</v>
      </c>
      <c r="K5" s="207" t="s">
        <v>256</v>
      </c>
      <c r="L5" s="207" t="s">
        <v>257</v>
      </c>
      <c r="M5" s="207" t="s">
        <v>258</v>
      </c>
      <c r="N5" s="207" t="s">
        <v>259</v>
      </c>
      <c r="O5" s="207" t="s">
        <v>260</v>
      </c>
      <c r="P5" s="207" t="s">
        <v>261</v>
      </c>
      <c r="Q5" s="207" t="s">
        <v>262</v>
      </c>
      <c r="R5" s="207" t="s">
        <v>263</v>
      </c>
      <c r="S5" s="207" t="s">
        <v>264</v>
      </c>
      <c r="T5" s="207" t="s">
        <v>265</v>
      </c>
      <c r="U5" s="207" t="s">
        <v>266</v>
      </c>
      <c r="V5" s="207" t="s">
        <v>267</v>
      </c>
      <c r="W5" s="207" t="s">
        <v>268</v>
      </c>
      <c r="X5" s="207" t="s">
        <v>269</v>
      </c>
      <c r="Y5" s="207" t="s">
        <v>270</v>
      </c>
      <c r="Z5" s="207" t="s">
        <v>271</v>
      </c>
      <c r="AA5" s="207" t="s">
        <v>272</v>
      </c>
      <c r="AB5" s="207" t="s">
        <v>273</v>
      </c>
      <c r="AC5" s="207" t="s">
        <v>274</v>
      </c>
      <c r="AD5" s="207" t="s">
        <v>467</v>
      </c>
      <c r="AE5" s="207" t="s">
        <v>468</v>
      </c>
      <c r="AF5" s="207" t="s">
        <v>469</v>
      </c>
      <c r="AG5" s="207" t="s">
        <v>470</v>
      </c>
      <c r="AH5" s="207" t="s">
        <v>471</v>
      </c>
      <c r="AI5" s="207" t="s">
        <v>472</v>
      </c>
      <c r="AJ5" s="207" t="s">
        <v>473</v>
      </c>
      <c r="AK5" s="207" t="s">
        <v>474</v>
      </c>
      <c r="AL5" s="207" t="s">
        <v>475</v>
      </c>
      <c r="AM5" s="207" t="s">
        <v>476</v>
      </c>
      <c r="AN5" s="207" t="s">
        <v>477</v>
      </c>
      <c r="AO5" s="207" t="s">
        <v>478</v>
      </c>
      <c r="AP5" s="207" t="s">
        <v>479</v>
      </c>
      <c r="AQ5" s="207" t="s">
        <v>480</v>
      </c>
      <c r="AR5" s="207" t="s">
        <v>481</v>
      </c>
      <c r="AS5" s="207" t="s">
        <v>482</v>
      </c>
      <c r="AT5" s="207" t="s">
        <v>483</v>
      </c>
      <c r="AU5" s="207" t="s">
        <v>484</v>
      </c>
      <c r="AV5" s="207" t="s">
        <v>485</v>
      </c>
      <c r="AW5" s="207" t="s">
        <v>486</v>
      </c>
      <c r="AX5" s="207" t="s">
        <v>487</v>
      </c>
      <c r="AY5" s="207" t="s">
        <v>488</v>
      </c>
      <c r="AZ5" s="207" t="s">
        <v>489</v>
      </c>
      <c r="BA5" s="207" t="s">
        <v>490</v>
      </c>
      <c r="BB5" s="207" t="s">
        <v>491</v>
      </c>
      <c r="BC5" s="207" t="s">
        <v>492</v>
      </c>
      <c r="BD5" s="465" t="s">
        <v>523</v>
      </c>
      <c r="BE5" s="465" t="s">
        <v>524</v>
      </c>
      <c r="BF5" s="207" t="s">
        <v>525</v>
      </c>
      <c r="BG5" s="207" t="s">
        <v>526</v>
      </c>
      <c r="BH5" s="207" t="s">
        <v>527</v>
      </c>
      <c r="BI5" s="207" t="s">
        <v>528</v>
      </c>
      <c r="BJ5" s="207" t="s">
        <v>529</v>
      </c>
      <c r="BK5" s="207" t="s">
        <v>530</v>
      </c>
      <c r="BL5" s="207" t="s">
        <v>531</v>
      </c>
      <c r="BM5" s="207" t="s">
        <v>532</v>
      </c>
      <c r="BN5" s="207" t="s">
        <v>533</v>
      </c>
      <c r="BO5" s="207" t="s">
        <v>534</v>
      </c>
      <c r="BP5" s="207" t="s">
        <v>535</v>
      </c>
      <c r="BQ5" s="207" t="s">
        <v>536</v>
      </c>
      <c r="BR5" s="207" t="s">
        <v>537</v>
      </c>
      <c r="BS5" s="207" t="s">
        <v>538</v>
      </c>
      <c r="BT5" s="207" t="s">
        <v>539</v>
      </c>
      <c r="BU5" s="207" t="s">
        <v>540</v>
      </c>
      <c r="BV5" s="207" t="s">
        <v>541</v>
      </c>
      <c r="BW5" s="207" t="s">
        <v>542</v>
      </c>
      <c r="BX5" s="207" t="s">
        <v>543</v>
      </c>
      <c r="BY5" s="207" t="s">
        <v>544</v>
      </c>
      <c r="BZ5" s="207" t="s">
        <v>545</v>
      </c>
      <c r="CA5" s="207" t="s">
        <v>546</v>
      </c>
      <c r="CB5" s="207" t="s">
        <v>547</v>
      </c>
      <c r="CC5" s="207" t="s">
        <v>548</v>
      </c>
      <c r="CD5" s="465" t="s">
        <v>549</v>
      </c>
      <c r="CE5" s="465" t="s">
        <v>574</v>
      </c>
      <c r="CF5" s="207" t="s">
        <v>550</v>
      </c>
      <c r="CG5" s="207" t="s">
        <v>551</v>
      </c>
      <c r="CH5" s="207" t="s">
        <v>552</v>
      </c>
      <c r="CI5" s="207" t="s">
        <v>553</v>
      </c>
      <c r="CJ5" s="207" t="s">
        <v>554</v>
      </c>
      <c r="CK5" s="207" t="s">
        <v>555</v>
      </c>
      <c r="CL5" s="207" t="s">
        <v>556</v>
      </c>
      <c r="CM5" s="207" t="s">
        <v>557</v>
      </c>
      <c r="CN5" s="207" t="s">
        <v>558</v>
      </c>
      <c r="CO5" s="207" t="s">
        <v>559</v>
      </c>
      <c r="CP5" s="207" t="s">
        <v>560</v>
      </c>
      <c r="CQ5" s="207" t="s">
        <v>561</v>
      </c>
      <c r="CR5" s="207" t="s">
        <v>562</v>
      </c>
      <c r="CS5" s="207" t="s">
        <v>563</v>
      </c>
      <c r="CT5" s="207" t="s">
        <v>564</v>
      </c>
      <c r="CU5" s="207" t="s">
        <v>565</v>
      </c>
      <c r="CV5" s="207" t="s">
        <v>566</v>
      </c>
      <c r="CW5" s="207" t="s">
        <v>567</v>
      </c>
      <c r="CX5" s="207" t="s">
        <v>568</v>
      </c>
      <c r="CY5" s="207" t="s">
        <v>569</v>
      </c>
      <c r="CZ5" s="207" t="s">
        <v>570</v>
      </c>
      <c r="DA5" s="207" t="s">
        <v>571</v>
      </c>
      <c r="DB5" s="207" t="s">
        <v>572</v>
      </c>
      <c r="DC5" s="207" t="s">
        <v>573</v>
      </c>
    </row>
    <row r="6" spans="1:107" x14ac:dyDescent="0.25">
      <c r="A6" s="206">
        <f t="shared" si="0"/>
        <v>6</v>
      </c>
      <c r="B6" s="207" t="s">
        <v>254</v>
      </c>
    </row>
    <row r="7" spans="1:107" x14ac:dyDescent="0.25">
      <c r="A7" s="206">
        <f t="shared" si="0"/>
        <v>7</v>
      </c>
      <c r="B7" s="207" t="s">
        <v>255</v>
      </c>
    </row>
    <row r="8" spans="1:107" x14ac:dyDescent="0.25">
      <c r="A8" s="206">
        <f t="shared" si="0"/>
        <v>8</v>
      </c>
      <c r="B8" s="207" t="s">
        <v>256</v>
      </c>
    </row>
    <row r="9" spans="1:107" x14ac:dyDescent="0.25">
      <c r="A9" s="206">
        <f t="shared" si="0"/>
        <v>9</v>
      </c>
      <c r="B9" s="207" t="s">
        <v>257</v>
      </c>
    </row>
    <row r="10" spans="1:107" x14ac:dyDescent="0.25">
      <c r="A10" s="206">
        <f t="shared" si="0"/>
        <v>10</v>
      </c>
      <c r="B10" s="207" t="s">
        <v>258</v>
      </c>
    </row>
    <row r="11" spans="1:107" x14ac:dyDescent="0.25">
      <c r="A11" s="206">
        <f t="shared" si="0"/>
        <v>11</v>
      </c>
      <c r="B11" s="207" t="s">
        <v>259</v>
      </c>
    </row>
    <row r="12" spans="1:107" x14ac:dyDescent="0.25">
      <c r="A12" s="206">
        <f t="shared" si="0"/>
        <v>12</v>
      </c>
      <c r="B12" s="207" t="s">
        <v>260</v>
      </c>
    </row>
    <row r="13" spans="1:107" x14ac:dyDescent="0.25">
      <c r="A13" s="206">
        <f t="shared" si="0"/>
        <v>13</v>
      </c>
      <c r="B13" s="207" t="s">
        <v>261</v>
      </c>
    </row>
    <row r="14" spans="1:107" x14ac:dyDescent="0.25">
      <c r="A14" s="206">
        <f t="shared" si="0"/>
        <v>14</v>
      </c>
      <c r="B14" s="207" t="s">
        <v>262</v>
      </c>
    </row>
    <row r="15" spans="1:107" x14ac:dyDescent="0.25">
      <c r="A15" s="206">
        <f t="shared" si="0"/>
        <v>15</v>
      </c>
      <c r="B15" s="207" t="s">
        <v>263</v>
      </c>
    </row>
    <row r="16" spans="1:107" x14ac:dyDescent="0.25">
      <c r="A16" s="206">
        <f t="shared" si="0"/>
        <v>16</v>
      </c>
      <c r="B16" s="207" t="s">
        <v>264</v>
      </c>
    </row>
    <row r="17" spans="1:2" x14ac:dyDescent="0.25">
      <c r="A17" s="206">
        <f t="shared" si="0"/>
        <v>17</v>
      </c>
      <c r="B17" s="207" t="s">
        <v>265</v>
      </c>
    </row>
    <row r="18" spans="1:2" x14ac:dyDescent="0.25">
      <c r="A18" s="206">
        <f t="shared" si="0"/>
        <v>18</v>
      </c>
      <c r="B18" s="207" t="s">
        <v>266</v>
      </c>
    </row>
    <row r="19" spans="1:2" x14ac:dyDescent="0.25">
      <c r="A19" s="206">
        <f t="shared" si="0"/>
        <v>19</v>
      </c>
      <c r="B19" s="207" t="s">
        <v>267</v>
      </c>
    </row>
    <row r="20" spans="1:2" x14ac:dyDescent="0.25">
      <c r="A20" s="206">
        <f t="shared" si="0"/>
        <v>20</v>
      </c>
      <c r="B20" s="207" t="s">
        <v>268</v>
      </c>
    </row>
    <row r="21" spans="1:2" x14ac:dyDescent="0.25">
      <c r="A21" s="206">
        <f t="shared" si="0"/>
        <v>21</v>
      </c>
      <c r="B21" s="207" t="s">
        <v>269</v>
      </c>
    </row>
    <row r="22" spans="1:2" x14ac:dyDescent="0.25">
      <c r="A22" s="206">
        <f t="shared" si="0"/>
        <v>22</v>
      </c>
      <c r="B22" s="207" t="s">
        <v>270</v>
      </c>
    </row>
    <row r="23" spans="1:2" x14ac:dyDescent="0.25">
      <c r="A23" s="206">
        <f t="shared" si="0"/>
        <v>23</v>
      </c>
      <c r="B23" s="207" t="s">
        <v>271</v>
      </c>
    </row>
    <row r="24" spans="1:2" x14ac:dyDescent="0.25">
      <c r="A24" s="206">
        <f t="shared" si="0"/>
        <v>24</v>
      </c>
      <c r="B24" s="207" t="s">
        <v>272</v>
      </c>
    </row>
    <row r="25" spans="1:2" x14ac:dyDescent="0.25">
      <c r="A25" s="206">
        <f t="shared" si="0"/>
        <v>25</v>
      </c>
      <c r="B25" s="207" t="s">
        <v>273</v>
      </c>
    </row>
    <row r="26" spans="1:2" x14ac:dyDescent="0.25">
      <c r="A26" s="206">
        <f t="shared" si="0"/>
        <v>26</v>
      </c>
      <c r="B26" s="207" t="s">
        <v>274</v>
      </c>
    </row>
    <row r="27" spans="1:2" x14ac:dyDescent="0.25">
      <c r="A27" s="206">
        <f t="shared" si="0"/>
        <v>27</v>
      </c>
      <c r="B27" s="207" t="str">
        <f>"A"&amp;B1</f>
        <v>AA</v>
      </c>
    </row>
    <row r="28" spans="1:2" x14ac:dyDescent="0.25">
      <c r="A28" s="206">
        <f t="shared" si="0"/>
        <v>28</v>
      </c>
      <c r="B28" s="207" t="str">
        <f t="shared" ref="B28:B52" si="4">"A"&amp;B2</f>
        <v>AB</v>
      </c>
    </row>
    <row r="29" spans="1:2" x14ac:dyDescent="0.25">
      <c r="A29" s="206">
        <f t="shared" si="0"/>
        <v>29</v>
      </c>
      <c r="B29" s="207" t="str">
        <f t="shared" si="4"/>
        <v>AC</v>
      </c>
    </row>
    <row r="30" spans="1:2" x14ac:dyDescent="0.25">
      <c r="A30" s="206">
        <f t="shared" si="0"/>
        <v>30</v>
      </c>
      <c r="B30" s="207" t="str">
        <f t="shared" si="4"/>
        <v>AD</v>
      </c>
    </row>
    <row r="31" spans="1:2" x14ac:dyDescent="0.25">
      <c r="A31" s="206">
        <f t="shared" si="0"/>
        <v>31</v>
      </c>
      <c r="B31" s="207" t="str">
        <f t="shared" si="4"/>
        <v>AE</v>
      </c>
    </row>
    <row r="32" spans="1:2" x14ac:dyDescent="0.25">
      <c r="A32" s="206">
        <f t="shared" si="0"/>
        <v>32</v>
      </c>
      <c r="B32" s="207" t="str">
        <f t="shared" si="4"/>
        <v>AF</v>
      </c>
    </row>
    <row r="33" spans="1:2" x14ac:dyDescent="0.25">
      <c r="A33" s="206">
        <f t="shared" si="0"/>
        <v>33</v>
      </c>
      <c r="B33" s="207" t="str">
        <f t="shared" si="4"/>
        <v>AG</v>
      </c>
    </row>
    <row r="34" spans="1:2" x14ac:dyDescent="0.25">
      <c r="A34" s="206">
        <f t="shared" si="0"/>
        <v>34</v>
      </c>
      <c r="B34" s="207" t="str">
        <f t="shared" si="4"/>
        <v>AH</v>
      </c>
    </row>
    <row r="35" spans="1:2" x14ac:dyDescent="0.25">
      <c r="A35" s="206">
        <f t="shared" si="0"/>
        <v>35</v>
      </c>
      <c r="B35" s="207" t="str">
        <f t="shared" si="4"/>
        <v>AI</v>
      </c>
    </row>
    <row r="36" spans="1:2" x14ac:dyDescent="0.25">
      <c r="A36" s="206">
        <f t="shared" si="0"/>
        <v>36</v>
      </c>
      <c r="B36" s="207" t="str">
        <f t="shared" si="4"/>
        <v>AJ</v>
      </c>
    </row>
    <row r="37" spans="1:2" x14ac:dyDescent="0.25">
      <c r="A37" s="206">
        <f t="shared" si="0"/>
        <v>37</v>
      </c>
      <c r="B37" s="207" t="str">
        <f t="shared" si="4"/>
        <v>AK</v>
      </c>
    </row>
    <row r="38" spans="1:2" x14ac:dyDescent="0.25">
      <c r="A38" s="206">
        <f t="shared" si="0"/>
        <v>38</v>
      </c>
      <c r="B38" s="207" t="str">
        <f t="shared" si="4"/>
        <v>AL</v>
      </c>
    </row>
    <row r="39" spans="1:2" x14ac:dyDescent="0.25">
      <c r="A39" s="206">
        <f t="shared" si="0"/>
        <v>39</v>
      </c>
      <c r="B39" s="207" t="str">
        <f t="shared" si="4"/>
        <v>AM</v>
      </c>
    </row>
    <row r="40" spans="1:2" x14ac:dyDescent="0.25">
      <c r="A40" s="206">
        <f t="shared" si="0"/>
        <v>40</v>
      </c>
      <c r="B40" s="207" t="str">
        <f t="shared" si="4"/>
        <v>AN</v>
      </c>
    </row>
    <row r="41" spans="1:2" x14ac:dyDescent="0.25">
      <c r="A41" s="206">
        <f t="shared" si="0"/>
        <v>41</v>
      </c>
      <c r="B41" s="207" t="str">
        <f t="shared" si="4"/>
        <v>AO</v>
      </c>
    </row>
    <row r="42" spans="1:2" x14ac:dyDescent="0.25">
      <c r="A42" s="206">
        <f t="shared" si="0"/>
        <v>42</v>
      </c>
      <c r="B42" s="207" t="str">
        <f t="shared" si="4"/>
        <v>AP</v>
      </c>
    </row>
    <row r="43" spans="1:2" x14ac:dyDescent="0.25">
      <c r="A43" s="206">
        <f t="shared" si="0"/>
        <v>43</v>
      </c>
      <c r="B43" s="207" t="str">
        <f t="shared" si="4"/>
        <v>AQ</v>
      </c>
    </row>
    <row r="44" spans="1:2" x14ac:dyDescent="0.25">
      <c r="A44" s="206">
        <f t="shared" si="0"/>
        <v>44</v>
      </c>
      <c r="B44" s="207" t="str">
        <f t="shared" si="4"/>
        <v>AR</v>
      </c>
    </row>
    <row r="45" spans="1:2" x14ac:dyDescent="0.25">
      <c r="A45" s="206">
        <f t="shared" si="0"/>
        <v>45</v>
      </c>
      <c r="B45" s="207" t="str">
        <f t="shared" si="4"/>
        <v>AS</v>
      </c>
    </row>
    <row r="46" spans="1:2" x14ac:dyDescent="0.25">
      <c r="A46" s="206">
        <f t="shared" si="0"/>
        <v>46</v>
      </c>
      <c r="B46" s="207" t="str">
        <f t="shared" si="4"/>
        <v>AT</v>
      </c>
    </row>
    <row r="47" spans="1:2" x14ac:dyDescent="0.25">
      <c r="A47" s="206">
        <f t="shared" si="0"/>
        <v>47</v>
      </c>
      <c r="B47" s="207" t="str">
        <f t="shared" si="4"/>
        <v>AU</v>
      </c>
    </row>
    <row r="48" spans="1:2" x14ac:dyDescent="0.25">
      <c r="A48" s="206">
        <f t="shared" si="0"/>
        <v>48</v>
      </c>
      <c r="B48" s="207" t="str">
        <f t="shared" si="4"/>
        <v>AV</v>
      </c>
    </row>
    <row r="49" spans="1:2" x14ac:dyDescent="0.25">
      <c r="A49" s="206">
        <f t="shared" si="0"/>
        <v>49</v>
      </c>
      <c r="B49" s="207" t="str">
        <f t="shared" si="4"/>
        <v>AW</v>
      </c>
    </row>
    <row r="50" spans="1:2" x14ac:dyDescent="0.25">
      <c r="A50" s="206">
        <f t="shared" si="0"/>
        <v>50</v>
      </c>
      <c r="B50" s="207" t="str">
        <f t="shared" si="4"/>
        <v>AX</v>
      </c>
    </row>
    <row r="51" spans="1:2" x14ac:dyDescent="0.25">
      <c r="A51" s="206">
        <f t="shared" si="0"/>
        <v>51</v>
      </c>
      <c r="B51" s="207" t="str">
        <f t="shared" si="4"/>
        <v>AY</v>
      </c>
    </row>
    <row r="52" spans="1:2" x14ac:dyDescent="0.25">
      <c r="A52" s="206">
        <f t="shared" si="0"/>
        <v>52</v>
      </c>
      <c r="B52" s="207" t="str">
        <f t="shared" si="4"/>
        <v>AZ</v>
      </c>
    </row>
    <row r="53" spans="1:2" x14ac:dyDescent="0.25">
      <c r="A53" s="206">
        <f t="shared" si="0"/>
        <v>53</v>
      </c>
      <c r="B53" s="207" t="str">
        <f>"B"&amp;B1</f>
        <v>BA</v>
      </c>
    </row>
    <row r="54" spans="1:2" x14ac:dyDescent="0.25">
      <c r="A54" s="206">
        <f t="shared" si="0"/>
        <v>54</v>
      </c>
      <c r="B54" s="207" t="str">
        <f t="shared" ref="B54:B78" si="5">"B"&amp;B2</f>
        <v>BB</v>
      </c>
    </row>
    <row r="55" spans="1:2" x14ac:dyDescent="0.25">
      <c r="A55" s="206">
        <f t="shared" si="0"/>
        <v>55</v>
      </c>
      <c r="B55" s="207" t="str">
        <f t="shared" si="5"/>
        <v>BC</v>
      </c>
    </row>
    <row r="56" spans="1:2" x14ac:dyDescent="0.25">
      <c r="A56" s="206">
        <f t="shared" si="0"/>
        <v>56</v>
      </c>
      <c r="B56" s="207" t="str">
        <f t="shared" si="5"/>
        <v>BD</v>
      </c>
    </row>
    <row r="57" spans="1:2" x14ac:dyDescent="0.25">
      <c r="A57" s="206">
        <f t="shared" si="0"/>
        <v>57</v>
      </c>
      <c r="B57" s="207" t="str">
        <f t="shared" si="5"/>
        <v>BE</v>
      </c>
    </row>
    <row r="58" spans="1:2" x14ac:dyDescent="0.25">
      <c r="A58" s="206">
        <f t="shared" si="0"/>
        <v>58</v>
      </c>
      <c r="B58" s="207" t="str">
        <f t="shared" si="5"/>
        <v>BF</v>
      </c>
    </row>
    <row r="59" spans="1:2" x14ac:dyDescent="0.25">
      <c r="A59" s="206">
        <f t="shared" si="0"/>
        <v>59</v>
      </c>
      <c r="B59" s="207" t="str">
        <f t="shared" si="5"/>
        <v>BG</v>
      </c>
    </row>
    <row r="60" spans="1:2" x14ac:dyDescent="0.25">
      <c r="A60" s="206">
        <f t="shared" si="0"/>
        <v>60</v>
      </c>
      <c r="B60" s="207" t="str">
        <f t="shared" si="5"/>
        <v>BH</v>
      </c>
    </row>
    <row r="61" spans="1:2" x14ac:dyDescent="0.25">
      <c r="A61" s="206">
        <f t="shared" si="0"/>
        <v>61</v>
      </c>
      <c r="B61" s="207" t="str">
        <f t="shared" si="5"/>
        <v>BI</v>
      </c>
    </row>
    <row r="62" spans="1:2" x14ac:dyDescent="0.25">
      <c r="A62" s="206">
        <f t="shared" si="0"/>
        <v>62</v>
      </c>
      <c r="B62" s="207" t="str">
        <f t="shared" si="5"/>
        <v>BJ</v>
      </c>
    </row>
    <row r="63" spans="1:2" x14ac:dyDescent="0.25">
      <c r="A63" s="206">
        <f t="shared" si="0"/>
        <v>63</v>
      </c>
      <c r="B63" s="207" t="str">
        <f t="shared" si="5"/>
        <v>BK</v>
      </c>
    </row>
    <row r="64" spans="1:2" x14ac:dyDescent="0.25">
      <c r="A64" s="206">
        <f t="shared" si="0"/>
        <v>64</v>
      </c>
      <c r="B64" s="207" t="str">
        <f t="shared" si="5"/>
        <v>BL</v>
      </c>
    </row>
    <row r="65" spans="1:2" x14ac:dyDescent="0.25">
      <c r="A65" s="206">
        <f t="shared" si="0"/>
        <v>65</v>
      </c>
      <c r="B65" s="207" t="str">
        <f t="shared" si="5"/>
        <v>BM</v>
      </c>
    </row>
    <row r="66" spans="1:2" x14ac:dyDescent="0.25">
      <c r="A66" s="206">
        <f t="shared" si="0"/>
        <v>66</v>
      </c>
      <c r="B66" s="207" t="str">
        <f t="shared" si="5"/>
        <v>BN</v>
      </c>
    </row>
    <row r="67" spans="1:2" x14ac:dyDescent="0.25">
      <c r="A67" s="206">
        <f t="shared" ref="A67:A130" si="6">A66+1</f>
        <v>67</v>
      </c>
      <c r="B67" s="207" t="str">
        <f t="shared" si="5"/>
        <v>BO</v>
      </c>
    </row>
    <row r="68" spans="1:2" x14ac:dyDescent="0.25">
      <c r="A68" s="206">
        <f t="shared" si="6"/>
        <v>68</v>
      </c>
      <c r="B68" s="207" t="str">
        <f t="shared" si="5"/>
        <v>BP</v>
      </c>
    </row>
    <row r="69" spans="1:2" x14ac:dyDescent="0.25">
      <c r="A69" s="206">
        <f t="shared" si="6"/>
        <v>69</v>
      </c>
      <c r="B69" s="207" t="str">
        <f t="shared" si="5"/>
        <v>BQ</v>
      </c>
    </row>
    <row r="70" spans="1:2" x14ac:dyDescent="0.25">
      <c r="A70" s="206">
        <f t="shared" si="6"/>
        <v>70</v>
      </c>
      <c r="B70" s="207" t="str">
        <f t="shared" si="5"/>
        <v>BR</v>
      </c>
    </row>
    <row r="71" spans="1:2" x14ac:dyDescent="0.25">
      <c r="A71" s="206">
        <f t="shared" si="6"/>
        <v>71</v>
      </c>
      <c r="B71" s="207" t="str">
        <f t="shared" si="5"/>
        <v>BS</v>
      </c>
    </row>
    <row r="72" spans="1:2" x14ac:dyDescent="0.25">
      <c r="A72" s="206">
        <f t="shared" si="6"/>
        <v>72</v>
      </c>
      <c r="B72" s="207" t="str">
        <f t="shared" si="5"/>
        <v>BT</v>
      </c>
    </row>
    <row r="73" spans="1:2" x14ac:dyDescent="0.25">
      <c r="A73" s="206">
        <f t="shared" si="6"/>
        <v>73</v>
      </c>
      <c r="B73" s="207" t="str">
        <f t="shared" si="5"/>
        <v>BU</v>
      </c>
    </row>
    <row r="74" spans="1:2" x14ac:dyDescent="0.25">
      <c r="A74" s="206">
        <f t="shared" si="6"/>
        <v>74</v>
      </c>
      <c r="B74" s="207" t="str">
        <f t="shared" si="5"/>
        <v>BV</v>
      </c>
    </row>
    <row r="75" spans="1:2" x14ac:dyDescent="0.25">
      <c r="A75" s="206">
        <f t="shared" si="6"/>
        <v>75</v>
      </c>
      <c r="B75" s="207" t="str">
        <f t="shared" si="5"/>
        <v>BW</v>
      </c>
    </row>
    <row r="76" spans="1:2" x14ac:dyDescent="0.25">
      <c r="A76" s="206">
        <f t="shared" si="6"/>
        <v>76</v>
      </c>
      <c r="B76" s="207" t="str">
        <f t="shared" si="5"/>
        <v>BX</v>
      </c>
    </row>
    <row r="77" spans="1:2" x14ac:dyDescent="0.25">
      <c r="A77" s="206">
        <f t="shared" si="6"/>
        <v>77</v>
      </c>
      <c r="B77" s="207" t="str">
        <f t="shared" si="5"/>
        <v>BY</v>
      </c>
    </row>
    <row r="78" spans="1:2" x14ac:dyDescent="0.25">
      <c r="A78" s="206">
        <f t="shared" si="6"/>
        <v>78</v>
      </c>
      <c r="B78" s="207" t="str">
        <f t="shared" si="5"/>
        <v>BZ</v>
      </c>
    </row>
    <row r="79" spans="1:2" x14ac:dyDescent="0.25">
      <c r="A79" s="206">
        <f t="shared" si="6"/>
        <v>79</v>
      </c>
      <c r="B79" s="207" t="str">
        <f t="shared" ref="B79:B104" si="7">"C"&amp;B1</f>
        <v>CA</v>
      </c>
    </row>
    <row r="80" spans="1:2" x14ac:dyDescent="0.25">
      <c r="A80" s="206">
        <f t="shared" si="6"/>
        <v>80</v>
      </c>
      <c r="B80" s="207" t="str">
        <f t="shared" si="7"/>
        <v>CB</v>
      </c>
    </row>
    <row r="81" spans="1:2" x14ac:dyDescent="0.25">
      <c r="A81" s="206">
        <f t="shared" si="6"/>
        <v>81</v>
      </c>
      <c r="B81" s="207" t="str">
        <f t="shared" si="7"/>
        <v>CC</v>
      </c>
    </row>
    <row r="82" spans="1:2" x14ac:dyDescent="0.25">
      <c r="A82" s="206">
        <f t="shared" si="6"/>
        <v>82</v>
      </c>
      <c r="B82" s="207" t="str">
        <f t="shared" si="7"/>
        <v>CD</v>
      </c>
    </row>
    <row r="83" spans="1:2" x14ac:dyDescent="0.25">
      <c r="A83" s="206">
        <f t="shared" si="6"/>
        <v>83</v>
      </c>
      <c r="B83" s="207" t="str">
        <f t="shared" si="7"/>
        <v>CE</v>
      </c>
    </row>
    <row r="84" spans="1:2" x14ac:dyDescent="0.25">
      <c r="A84" s="206">
        <f t="shared" si="6"/>
        <v>84</v>
      </c>
      <c r="B84" s="207" t="str">
        <f t="shared" si="7"/>
        <v>CF</v>
      </c>
    </row>
    <row r="85" spans="1:2" x14ac:dyDescent="0.25">
      <c r="A85" s="206">
        <f t="shared" si="6"/>
        <v>85</v>
      </c>
      <c r="B85" s="207" t="str">
        <f t="shared" si="7"/>
        <v>CG</v>
      </c>
    </row>
    <row r="86" spans="1:2" x14ac:dyDescent="0.25">
      <c r="A86" s="206">
        <f t="shared" si="6"/>
        <v>86</v>
      </c>
      <c r="B86" s="207" t="str">
        <f t="shared" si="7"/>
        <v>CH</v>
      </c>
    </row>
    <row r="87" spans="1:2" x14ac:dyDescent="0.25">
      <c r="A87" s="206">
        <f t="shared" si="6"/>
        <v>87</v>
      </c>
      <c r="B87" s="207" t="str">
        <f t="shared" si="7"/>
        <v>CI</v>
      </c>
    </row>
    <row r="88" spans="1:2" x14ac:dyDescent="0.25">
      <c r="A88" s="206">
        <f t="shared" si="6"/>
        <v>88</v>
      </c>
      <c r="B88" s="207" t="str">
        <f t="shared" si="7"/>
        <v>CJ</v>
      </c>
    </row>
    <row r="89" spans="1:2" x14ac:dyDescent="0.25">
      <c r="A89" s="206">
        <f t="shared" si="6"/>
        <v>89</v>
      </c>
      <c r="B89" s="207" t="str">
        <f t="shared" si="7"/>
        <v>CK</v>
      </c>
    </row>
    <row r="90" spans="1:2" x14ac:dyDescent="0.25">
      <c r="A90" s="206">
        <f t="shared" si="6"/>
        <v>90</v>
      </c>
      <c r="B90" s="207" t="str">
        <f t="shared" si="7"/>
        <v>CL</v>
      </c>
    </row>
    <row r="91" spans="1:2" x14ac:dyDescent="0.25">
      <c r="A91" s="206">
        <f t="shared" si="6"/>
        <v>91</v>
      </c>
      <c r="B91" s="207" t="str">
        <f t="shared" si="7"/>
        <v>CM</v>
      </c>
    </row>
    <row r="92" spans="1:2" x14ac:dyDescent="0.25">
      <c r="A92" s="206">
        <f t="shared" si="6"/>
        <v>92</v>
      </c>
      <c r="B92" s="207" t="str">
        <f t="shared" si="7"/>
        <v>CN</v>
      </c>
    </row>
    <row r="93" spans="1:2" x14ac:dyDescent="0.25">
      <c r="A93" s="206">
        <f t="shared" si="6"/>
        <v>93</v>
      </c>
      <c r="B93" s="207" t="str">
        <f t="shared" si="7"/>
        <v>CO</v>
      </c>
    </row>
    <row r="94" spans="1:2" x14ac:dyDescent="0.25">
      <c r="A94" s="206">
        <f t="shared" si="6"/>
        <v>94</v>
      </c>
      <c r="B94" s="207" t="str">
        <f t="shared" si="7"/>
        <v>CP</v>
      </c>
    </row>
    <row r="95" spans="1:2" x14ac:dyDescent="0.25">
      <c r="A95" s="206">
        <f t="shared" si="6"/>
        <v>95</v>
      </c>
      <c r="B95" s="207" t="str">
        <f t="shared" si="7"/>
        <v>CQ</v>
      </c>
    </row>
    <row r="96" spans="1:2" x14ac:dyDescent="0.25">
      <c r="A96" s="206">
        <f t="shared" si="6"/>
        <v>96</v>
      </c>
      <c r="B96" s="207" t="str">
        <f t="shared" si="7"/>
        <v>CR</v>
      </c>
    </row>
    <row r="97" spans="1:2" x14ac:dyDescent="0.25">
      <c r="A97" s="206">
        <f t="shared" si="6"/>
        <v>97</v>
      </c>
      <c r="B97" s="207" t="str">
        <f t="shared" si="7"/>
        <v>CS</v>
      </c>
    </row>
    <row r="98" spans="1:2" x14ac:dyDescent="0.25">
      <c r="A98" s="206">
        <f t="shared" si="6"/>
        <v>98</v>
      </c>
      <c r="B98" s="207" t="str">
        <f t="shared" si="7"/>
        <v>CT</v>
      </c>
    </row>
    <row r="99" spans="1:2" x14ac:dyDescent="0.25">
      <c r="A99" s="206">
        <f t="shared" si="6"/>
        <v>99</v>
      </c>
      <c r="B99" s="207" t="str">
        <f t="shared" si="7"/>
        <v>CU</v>
      </c>
    </row>
    <row r="100" spans="1:2" x14ac:dyDescent="0.25">
      <c r="A100" s="206">
        <f t="shared" si="6"/>
        <v>100</v>
      </c>
      <c r="B100" s="207" t="str">
        <f t="shared" si="7"/>
        <v>CV</v>
      </c>
    </row>
    <row r="101" spans="1:2" x14ac:dyDescent="0.25">
      <c r="A101" s="206">
        <f t="shared" si="6"/>
        <v>101</v>
      </c>
      <c r="B101" s="207" t="str">
        <f t="shared" si="7"/>
        <v>CW</v>
      </c>
    </row>
    <row r="102" spans="1:2" x14ac:dyDescent="0.25">
      <c r="A102" s="206">
        <f t="shared" si="6"/>
        <v>102</v>
      </c>
      <c r="B102" s="207" t="str">
        <f t="shared" si="7"/>
        <v>CX</v>
      </c>
    </row>
    <row r="103" spans="1:2" x14ac:dyDescent="0.25">
      <c r="A103" s="206">
        <f t="shared" si="6"/>
        <v>103</v>
      </c>
      <c r="B103" s="207" t="str">
        <f t="shared" si="7"/>
        <v>CY</v>
      </c>
    </row>
    <row r="104" spans="1:2" x14ac:dyDescent="0.25">
      <c r="A104" s="206">
        <f t="shared" si="6"/>
        <v>104</v>
      </c>
      <c r="B104" s="207" t="str">
        <f t="shared" si="7"/>
        <v>CZ</v>
      </c>
    </row>
    <row r="105" spans="1:2" x14ac:dyDescent="0.25">
      <c r="A105" s="206">
        <f t="shared" si="6"/>
        <v>105</v>
      </c>
      <c r="B105" s="207" t="str">
        <f>"D"&amp;B1</f>
        <v>DA</v>
      </c>
    </row>
    <row r="106" spans="1:2" x14ac:dyDescent="0.25">
      <c r="A106" s="206">
        <f t="shared" si="6"/>
        <v>106</v>
      </c>
      <c r="B106" s="207" t="str">
        <f t="shared" ref="B106:B130" si="8">"D"&amp;B2</f>
        <v>DB</v>
      </c>
    </row>
    <row r="107" spans="1:2" x14ac:dyDescent="0.25">
      <c r="A107" s="206">
        <f t="shared" si="6"/>
        <v>107</v>
      </c>
      <c r="B107" s="207" t="str">
        <f t="shared" si="8"/>
        <v>DC</v>
      </c>
    </row>
    <row r="108" spans="1:2" x14ac:dyDescent="0.25">
      <c r="A108" s="206">
        <f t="shared" si="6"/>
        <v>108</v>
      </c>
      <c r="B108" s="207" t="str">
        <f t="shared" si="8"/>
        <v>DD</v>
      </c>
    </row>
    <row r="109" spans="1:2" x14ac:dyDescent="0.25">
      <c r="A109" s="206">
        <f t="shared" si="6"/>
        <v>109</v>
      </c>
      <c r="B109" s="207" t="str">
        <f t="shared" si="8"/>
        <v>DE</v>
      </c>
    </row>
    <row r="110" spans="1:2" x14ac:dyDescent="0.25">
      <c r="A110" s="206">
        <f t="shared" si="6"/>
        <v>110</v>
      </c>
      <c r="B110" s="207" t="str">
        <f t="shared" si="8"/>
        <v>DF</v>
      </c>
    </row>
    <row r="111" spans="1:2" x14ac:dyDescent="0.25">
      <c r="A111" s="206">
        <f t="shared" si="6"/>
        <v>111</v>
      </c>
      <c r="B111" s="207" t="str">
        <f t="shared" si="8"/>
        <v>DG</v>
      </c>
    </row>
    <row r="112" spans="1:2" x14ac:dyDescent="0.25">
      <c r="A112" s="206">
        <f t="shared" si="6"/>
        <v>112</v>
      </c>
      <c r="B112" s="207" t="str">
        <f t="shared" si="8"/>
        <v>DH</v>
      </c>
    </row>
    <row r="113" spans="1:2" x14ac:dyDescent="0.25">
      <c r="A113" s="206">
        <f t="shared" si="6"/>
        <v>113</v>
      </c>
      <c r="B113" s="207" t="str">
        <f t="shared" si="8"/>
        <v>DI</v>
      </c>
    </row>
    <row r="114" spans="1:2" x14ac:dyDescent="0.25">
      <c r="A114" s="206">
        <f t="shared" si="6"/>
        <v>114</v>
      </c>
      <c r="B114" s="207" t="str">
        <f t="shared" si="8"/>
        <v>DJ</v>
      </c>
    </row>
    <row r="115" spans="1:2" x14ac:dyDescent="0.25">
      <c r="A115" s="206">
        <f t="shared" si="6"/>
        <v>115</v>
      </c>
      <c r="B115" s="207" t="str">
        <f t="shared" si="8"/>
        <v>DK</v>
      </c>
    </row>
    <row r="116" spans="1:2" x14ac:dyDescent="0.25">
      <c r="A116" s="206">
        <f t="shared" si="6"/>
        <v>116</v>
      </c>
      <c r="B116" s="207" t="str">
        <f t="shared" si="8"/>
        <v>DL</v>
      </c>
    </row>
    <row r="117" spans="1:2" x14ac:dyDescent="0.25">
      <c r="A117" s="206">
        <f t="shared" si="6"/>
        <v>117</v>
      </c>
      <c r="B117" s="207" t="str">
        <f t="shared" si="8"/>
        <v>DM</v>
      </c>
    </row>
    <row r="118" spans="1:2" x14ac:dyDescent="0.25">
      <c r="A118" s="206">
        <f t="shared" si="6"/>
        <v>118</v>
      </c>
      <c r="B118" s="207" t="str">
        <f t="shared" si="8"/>
        <v>DN</v>
      </c>
    </row>
    <row r="119" spans="1:2" x14ac:dyDescent="0.25">
      <c r="A119" s="206">
        <f t="shared" si="6"/>
        <v>119</v>
      </c>
      <c r="B119" s="207" t="str">
        <f t="shared" si="8"/>
        <v>DO</v>
      </c>
    </row>
    <row r="120" spans="1:2" x14ac:dyDescent="0.25">
      <c r="A120" s="206">
        <f t="shared" si="6"/>
        <v>120</v>
      </c>
      <c r="B120" s="207" t="str">
        <f t="shared" si="8"/>
        <v>DP</v>
      </c>
    </row>
    <row r="121" spans="1:2" x14ac:dyDescent="0.25">
      <c r="A121" s="206">
        <f t="shared" si="6"/>
        <v>121</v>
      </c>
      <c r="B121" s="207" t="str">
        <f t="shared" si="8"/>
        <v>DQ</v>
      </c>
    </row>
    <row r="122" spans="1:2" x14ac:dyDescent="0.25">
      <c r="A122" s="206">
        <f t="shared" si="6"/>
        <v>122</v>
      </c>
      <c r="B122" s="207" t="str">
        <f t="shared" si="8"/>
        <v>DR</v>
      </c>
    </row>
    <row r="123" spans="1:2" x14ac:dyDescent="0.25">
      <c r="A123" s="206">
        <f t="shared" si="6"/>
        <v>123</v>
      </c>
      <c r="B123" s="207" t="str">
        <f t="shared" si="8"/>
        <v>DS</v>
      </c>
    </row>
    <row r="124" spans="1:2" x14ac:dyDescent="0.25">
      <c r="A124" s="206">
        <f t="shared" si="6"/>
        <v>124</v>
      </c>
      <c r="B124" s="207" t="str">
        <f t="shared" si="8"/>
        <v>DT</v>
      </c>
    </row>
    <row r="125" spans="1:2" x14ac:dyDescent="0.25">
      <c r="A125" s="206">
        <f t="shared" si="6"/>
        <v>125</v>
      </c>
      <c r="B125" s="207" t="str">
        <f t="shared" si="8"/>
        <v>DU</v>
      </c>
    </row>
    <row r="126" spans="1:2" x14ac:dyDescent="0.25">
      <c r="A126" s="206">
        <f t="shared" si="6"/>
        <v>126</v>
      </c>
      <c r="B126" s="207" t="str">
        <f t="shared" si="8"/>
        <v>DV</v>
      </c>
    </row>
    <row r="127" spans="1:2" x14ac:dyDescent="0.25">
      <c r="A127" s="206">
        <f t="shared" si="6"/>
        <v>127</v>
      </c>
      <c r="B127" s="207" t="str">
        <f t="shared" si="8"/>
        <v>DW</v>
      </c>
    </row>
    <row r="128" spans="1:2" x14ac:dyDescent="0.25">
      <c r="A128" s="206">
        <f t="shared" si="6"/>
        <v>128</v>
      </c>
      <c r="B128" s="207" t="str">
        <f t="shared" si="8"/>
        <v>DX</v>
      </c>
    </row>
    <row r="129" spans="1:2" x14ac:dyDescent="0.25">
      <c r="A129" s="206">
        <f t="shared" si="6"/>
        <v>129</v>
      </c>
      <c r="B129" s="207" t="str">
        <f t="shared" si="8"/>
        <v>DY</v>
      </c>
    </row>
    <row r="130" spans="1:2" x14ac:dyDescent="0.25">
      <c r="A130" s="206">
        <f t="shared" si="6"/>
        <v>130</v>
      </c>
      <c r="B130" s="207" t="str">
        <f t="shared" si="8"/>
        <v>DZ</v>
      </c>
    </row>
    <row r="131" spans="1:2" x14ac:dyDescent="0.25">
      <c r="A131" s="206">
        <f t="shared" ref="A131:A194" si="9">A130+1</f>
        <v>131</v>
      </c>
      <c r="B131" s="207" t="str">
        <f>"E"&amp;B1</f>
        <v>EA</v>
      </c>
    </row>
    <row r="132" spans="1:2" x14ac:dyDescent="0.25">
      <c r="A132" s="206">
        <f t="shared" si="9"/>
        <v>132</v>
      </c>
      <c r="B132" s="207" t="str">
        <f t="shared" ref="B132:B156" si="10">"E"&amp;B2</f>
        <v>EB</v>
      </c>
    </row>
    <row r="133" spans="1:2" x14ac:dyDescent="0.25">
      <c r="A133" s="206">
        <f t="shared" si="9"/>
        <v>133</v>
      </c>
      <c r="B133" s="207" t="str">
        <f t="shared" si="10"/>
        <v>EC</v>
      </c>
    </row>
    <row r="134" spans="1:2" x14ac:dyDescent="0.25">
      <c r="A134" s="206">
        <f t="shared" si="9"/>
        <v>134</v>
      </c>
      <c r="B134" s="207" t="str">
        <f t="shared" si="10"/>
        <v>ED</v>
      </c>
    </row>
    <row r="135" spans="1:2" x14ac:dyDescent="0.25">
      <c r="A135" s="206">
        <f t="shared" si="9"/>
        <v>135</v>
      </c>
      <c r="B135" s="207" t="str">
        <f t="shared" si="10"/>
        <v>EE</v>
      </c>
    </row>
    <row r="136" spans="1:2" x14ac:dyDescent="0.25">
      <c r="A136" s="206">
        <f t="shared" si="9"/>
        <v>136</v>
      </c>
      <c r="B136" s="207" t="str">
        <f t="shared" si="10"/>
        <v>EF</v>
      </c>
    </row>
    <row r="137" spans="1:2" x14ac:dyDescent="0.25">
      <c r="A137" s="206">
        <f t="shared" si="9"/>
        <v>137</v>
      </c>
      <c r="B137" s="207" t="str">
        <f t="shared" si="10"/>
        <v>EG</v>
      </c>
    </row>
    <row r="138" spans="1:2" x14ac:dyDescent="0.25">
      <c r="A138" s="206">
        <f t="shared" si="9"/>
        <v>138</v>
      </c>
      <c r="B138" s="207" t="str">
        <f t="shared" si="10"/>
        <v>EH</v>
      </c>
    </row>
    <row r="139" spans="1:2" x14ac:dyDescent="0.25">
      <c r="A139" s="206">
        <f t="shared" si="9"/>
        <v>139</v>
      </c>
      <c r="B139" s="207" t="str">
        <f t="shared" si="10"/>
        <v>EI</v>
      </c>
    </row>
    <row r="140" spans="1:2" x14ac:dyDescent="0.25">
      <c r="A140" s="206">
        <f t="shared" si="9"/>
        <v>140</v>
      </c>
      <c r="B140" s="207" t="str">
        <f t="shared" si="10"/>
        <v>EJ</v>
      </c>
    </row>
    <row r="141" spans="1:2" x14ac:dyDescent="0.25">
      <c r="A141" s="206">
        <f t="shared" si="9"/>
        <v>141</v>
      </c>
      <c r="B141" s="207" t="str">
        <f t="shared" si="10"/>
        <v>EK</v>
      </c>
    </row>
    <row r="142" spans="1:2" x14ac:dyDescent="0.25">
      <c r="A142" s="206">
        <f t="shared" si="9"/>
        <v>142</v>
      </c>
      <c r="B142" s="207" t="str">
        <f t="shared" si="10"/>
        <v>EL</v>
      </c>
    </row>
    <row r="143" spans="1:2" x14ac:dyDescent="0.25">
      <c r="A143" s="206">
        <f t="shared" si="9"/>
        <v>143</v>
      </c>
      <c r="B143" s="207" t="str">
        <f t="shared" si="10"/>
        <v>EM</v>
      </c>
    </row>
    <row r="144" spans="1:2" x14ac:dyDescent="0.25">
      <c r="A144" s="206">
        <f t="shared" si="9"/>
        <v>144</v>
      </c>
      <c r="B144" s="207" t="str">
        <f t="shared" si="10"/>
        <v>EN</v>
      </c>
    </row>
    <row r="145" spans="1:2" x14ac:dyDescent="0.25">
      <c r="A145" s="206">
        <f t="shared" si="9"/>
        <v>145</v>
      </c>
      <c r="B145" s="207" t="str">
        <f t="shared" si="10"/>
        <v>EO</v>
      </c>
    </row>
    <row r="146" spans="1:2" x14ac:dyDescent="0.25">
      <c r="A146" s="206">
        <f t="shared" si="9"/>
        <v>146</v>
      </c>
      <c r="B146" s="207" t="str">
        <f t="shared" si="10"/>
        <v>EP</v>
      </c>
    </row>
    <row r="147" spans="1:2" x14ac:dyDescent="0.25">
      <c r="A147" s="206">
        <f t="shared" si="9"/>
        <v>147</v>
      </c>
      <c r="B147" s="207" t="str">
        <f t="shared" si="10"/>
        <v>EQ</v>
      </c>
    </row>
    <row r="148" spans="1:2" x14ac:dyDescent="0.25">
      <c r="A148" s="206">
        <f t="shared" si="9"/>
        <v>148</v>
      </c>
      <c r="B148" s="207" t="str">
        <f t="shared" si="10"/>
        <v>ER</v>
      </c>
    </row>
    <row r="149" spans="1:2" x14ac:dyDescent="0.25">
      <c r="A149" s="206">
        <f t="shared" si="9"/>
        <v>149</v>
      </c>
      <c r="B149" s="207" t="str">
        <f t="shared" si="10"/>
        <v>ES</v>
      </c>
    </row>
    <row r="150" spans="1:2" x14ac:dyDescent="0.25">
      <c r="A150" s="206">
        <f t="shared" si="9"/>
        <v>150</v>
      </c>
      <c r="B150" s="207" t="str">
        <f t="shared" si="10"/>
        <v>ET</v>
      </c>
    </row>
    <row r="151" spans="1:2" x14ac:dyDescent="0.25">
      <c r="A151" s="206">
        <f t="shared" si="9"/>
        <v>151</v>
      </c>
      <c r="B151" s="207" t="str">
        <f t="shared" si="10"/>
        <v>EU</v>
      </c>
    </row>
    <row r="152" spans="1:2" x14ac:dyDescent="0.25">
      <c r="A152" s="206">
        <f t="shared" si="9"/>
        <v>152</v>
      </c>
      <c r="B152" s="207" t="str">
        <f t="shared" si="10"/>
        <v>EV</v>
      </c>
    </row>
    <row r="153" spans="1:2" x14ac:dyDescent="0.25">
      <c r="A153" s="206">
        <f t="shared" si="9"/>
        <v>153</v>
      </c>
      <c r="B153" s="207" t="str">
        <f t="shared" si="10"/>
        <v>EW</v>
      </c>
    </row>
    <row r="154" spans="1:2" x14ac:dyDescent="0.25">
      <c r="A154" s="206">
        <f t="shared" si="9"/>
        <v>154</v>
      </c>
      <c r="B154" s="207" t="str">
        <f t="shared" si="10"/>
        <v>EX</v>
      </c>
    </row>
    <row r="155" spans="1:2" x14ac:dyDescent="0.25">
      <c r="A155" s="206">
        <f t="shared" si="9"/>
        <v>155</v>
      </c>
      <c r="B155" s="207" t="str">
        <f t="shared" si="10"/>
        <v>EY</v>
      </c>
    </row>
    <row r="156" spans="1:2" x14ac:dyDescent="0.25">
      <c r="A156" s="206">
        <f t="shared" si="9"/>
        <v>156</v>
      </c>
      <c r="B156" s="207" t="str">
        <f t="shared" si="10"/>
        <v>EZ</v>
      </c>
    </row>
    <row r="157" spans="1:2" x14ac:dyDescent="0.25">
      <c r="A157" s="206">
        <f t="shared" si="9"/>
        <v>157</v>
      </c>
      <c r="B157" s="207" t="str">
        <f>"F"&amp;B1</f>
        <v>FA</v>
      </c>
    </row>
    <row r="158" spans="1:2" x14ac:dyDescent="0.25">
      <c r="A158" s="206">
        <f t="shared" si="9"/>
        <v>158</v>
      </c>
      <c r="B158" s="207" t="str">
        <f t="shared" ref="B158:B182" si="11">"F"&amp;B2</f>
        <v>FB</v>
      </c>
    </row>
    <row r="159" spans="1:2" x14ac:dyDescent="0.25">
      <c r="A159" s="206">
        <f t="shared" si="9"/>
        <v>159</v>
      </c>
      <c r="B159" s="207" t="str">
        <f t="shared" si="11"/>
        <v>FC</v>
      </c>
    </row>
    <row r="160" spans="1:2" x14ac:dyDescent="0.25">
      <c r="A160" s="206">
        <f t="shared" si="9"/>
        <v>160</v>
      </c>
      <c r="B160" s="207" t="str">
        <f t="shared" si="11"/>
        <v>FD</v>
      </c>
    </row>
    <row r="161" spans="1:2" x14ac:dyDescent="0.25">
      <c r="A161" s="206">
        <f t="shared" si="9"/>
        <v>161</v>
      </c>
      <c r="B161" s="207" t="str">
        <f t="shared" si="11"/>
        <v>FE</v>
      </c>
    </row>
    <row r="162" spans="1:2" x14ac:dyDescent="0.25">
      <c r="A162" s="206">
        <f t="shared" si="9"/>
        <v>162</v>
      </c>
      <c r="B162" s="207" t="str">
        <f t="shared" si="11"/>
        <v>FF</v>
      </c>
    </row>
    <row r="163" spans="1:2" x14ac:dyDescent="0.25">
      <c r="A163" s="206">
        <f t="shared" si="9"/>
        <v>163</v>
      </c>
      <c r="B163" s="207" t="str">
        <f t="shared" si="11"/>
        <v>FG</v>
      </c>
    </row>
    <row r="164" spans="1:2" x14ac:dyDescent="0.25">
      <c r="A164" s="206">
        <f t="shared" si="9"/>
        <v>164</v>
      </c>
      <c r="B164" s="207" t="str">
        <f t="shared" si="11"/>
        <v>FH</v>
      </c>
    </row>
    <row r="165" spans="1:2" x14ac:dyDescent="0.25">
      <c r="A165" s="206">
        <f t="shared" si="9"/>
        <v>165</v>
      </c>
      <c r="B165" s="207" t="str">
        <f t="shared" si="11"/>
        <v>FI</v>
      </c>
    </row>
    <row r="166" spans="1:2" x14ac:dyDescent="0.25">
      <c r="A166" s="206">
        <f t="shared" si="9"/>
        <v>166</v>
      </c>
      <c r="B166" s="207" t="str">
        <f t="shared" si="11"/>
        <v>FJ</v>
      </c>
    </row>
    <row r="167" spans="1:2" x14ac:dyDescent="0.25">
      <c r="A167" s="206">
        <f t="shared" si="9"/>
        <v>167</v>
      </c>
      <c r="B167" s="207" t="str">
        <f t="shared" si="11"/>
        <v>FK</v>
      </c>
    </row>
    <row r="168" spans="1:2" x14ac:dyDescent="0.25">
      <c r="A168" s="206">
        <f t="shared" si="9"/>
        <v>168</v>
      </c>
      <c r="B168" s="207" t="str">
        <f t="shared" si="11"/>
        <v>FL</v>
      </c>
    </row>
    <row r="169" spans="1:2" x14ac:dyDescent="0.25">
      <c r="A169" s="206">
        <f t="shared" si="9"/>
        <v>169</v>
      </c>
      <c r="B169" s="207" t="str">
        <f t="shared" si="11"/>
        <v>FM</v>
      </c>
    </row>
    <row r="170" spans="1:2" x14ac:dyDescent="0.25">
      <c r="A170" s="206">
        <f t="shared" si="9"/>
        <v>170</v>
      </c>
      <c r="B170" s="207" t="str">
        <f t="shared" si="11"/>
        <v>FN</v>
      </c>
    </row>
    <row r="171" spans="1:2" x14ac:dyDescent="0.25">
      <c r="A171" s="206">
        <f t="shared" si="9"/>
        <v>171</v>
      </c>
      <c r="B171" s="207" t="str">
        <f t="shared" si="11"/>
        <v>FO</v>
      </c>
    </row>
    <row r="172" spans="1:2" x14ac:dyDescent="0.25">
      <c r="A172" s="206">
        <f t="shared" si="9"/>
        <v>172</v>
      </c>
      <c r="B172" s="207" t="str">
        <f t="shared" si="11"/>
        <v>FP</v>
      </c>
    </row>
    <row r="173" spans="1:2" x14ac:dyDescent="0.25">
      <c r="A173" s="206">
        <f t="shared" si="9"/>
        <v>173</v>
      </c>
      <c r="B173" s="207" t="str">
        <f t="shared" si="11"/>
        <v>FQ</v>
      </c>
    </row>
    <row r="174" spans="1:2" x14ac:dyDescent="0.25">
      <c r="A174" s="206">
        <f t="shared" si="9"/>
        <v>174</v>
      </c>
      <c r="B174" s="207" t="str">
        <f t="shared" si="11"/>
        <v>FR</v>
      </c>
    </row>
    <row r="175" spans="1:2" x14ac:dyDescent="0.25">
      <c r="A175" s="206">
        <f t="shared" si="9"/>
        <v>175</v>
      </c>
      <c r="B175" s="207" t="str">
        <f t="shared" si="11"/>
        <v>FS</v>
      </c>
    </row>
    <row r="176" spans="1:2" x14ac:dyDescent="0.25">
      <c r="A176" s="206">
        <f t="shared" si="9"/>
        <v>176</v>
      </c>
      <c r="B176" s="207" t="str">
        <f t="shared" si="11"/>
        <v>FT</v>
      </c>
    </row>
    <row r="177" spans="1:2" x14ac:dyDescent="0.25">
      <c r="A177" s="206">
        <f t="shared" si="9"/>
        <v>177</v>
      </c>
      <c r="B177" s="207" t="str">
        <f t="shared" si="11"/>
        <v>FU</v>
      </c>
    </row>
    <row r="178" spans="1:2" x14ac:dyDescent="0.25">
      <c r="A178" s="206">
        <f t="shared" si="9"/>
        <v>178</v>
      </c>
      <c r="B178" s="207" t="str">
        <f t="shared" si="11"/>
        <v>FV</v>
      </c>
    </row>
    <row r="179" spans="1:2" x14ac:dyDescent="0.25">
      <c r="A179" s="206">
        <f t="shared" si="9"/>
        <v>179</v>
      </c>
      <c r="B179" s="207" t="str">
        <f t="shared" si="11"/>
        <v>FW</v>
      </c>
    </row>
    <row r="180" spans="1:2" x14ac:dyDescent="0.25">
      <c r="A180" s="206">
        <f t="shared" si="9"/>
        <v>180</v>
      </c>
      <c r="B180" s="207" t="str">
        <f t="shared" si="11"/>
        <v>FX</v>
      </c>
    </row>
    <row r="181" spans="1:2" x14ac:dyDescent="0.25">
      <c r="A181" s="206">
        <f t="shared" si="9"/>
        <v>181</v>
      </c>
      <c r="B181" s="207" t="str">
        <f t="shared" si="11"/>
        <v>FY</v>
      </c>
    </row>
    <row r="182" spans="1:2" x14ac:dyDescent="0.25">
      <c r="A182" s="206">
        <f t="shared" si="9"/>
        <v>182</v>
      </c>
      <c r="B182" s="207" t="str">
        <f t="shared" si="11"/>
        <v>FZ</v>
      </c>
    </row>
    <row r="183" spans="1:2" x14ac:dyDescent="0.25">
      <c r="A183" s="206">
        <f t="shared" si="9"/>
        <v>183</v>
      </c>
      <c r="B183" s="207" t="str">
        <f>"G"&amp;B1</f>
        <v>GA</v>
      </c>
    </row>
    <row r="184" spans="1:2" x14ac:dyDescent="0.25">
      <c r="A184" s="206">
        <f t="shared" si="9"/>
        <v>184</v>
      </c>
      <c r="B184" s="207" t="str">
        <f t="shared" ref="B184:B208" si="12">"G"&amp;B2</f>
        <v>GB</v>
      </c>
    </row>
    <row r="185" spans="1:2" x14ac:dyDescent="0.25">
      <c r="A185" s="206">
        <f t="shared" si="9"/>
        <v>185</v>
      </c>
      <c r="B185" s="207" t="str">
        <f t="shared" si="12"/>
        <v>GC</v>
      </c>
    </row>
    <row r="186" spans="1:2" x14ac:dyDescent="0.25">
      <c r="A186" s="206">
        <f t="shared" si="9"/>
        <v>186</v>
      </c>
      <c r="B186" s="207" t="str">
        <f t="shared" si="12"/>
        <v>GD</v>
      </c>
    </row>
    <row r="187" spans="1:2" x14ac:dyDescent="0.25">
      <c r="A187" s="206">
        <f t="shared" si="9"/>
        <v>187</v>
      </c>
      <c r="B187" s="207" t="str">
        <f t="shared" si="12"/>
        <v>GE</v>
      </c>
    </row>
    <row r="188" spans="1:2" x14ac:dyDescent="0.25">
      <c r="A188" s="206">
        <f t="shared" si="9"/>
        <v>188</v>
      </c>
      <c r="B188" s="207" t="str">
        <f t="shared" si="12"/>
        <v>GF</v>
      </c>
    </row>
    <row r="189" spans="1:2" x14ac:dyDescent="0.25">
      <c r="A189" s="206">
        <f t="shared" si="9"/>
        <v>189</v>
      </c>
      <c r="B189" s="207" t="str">
        <f t="shared" si="12"/>
        <v>GG</v>
      </c>
    </row>
    <row r="190" spans="1:2" x14ac:dyDescent="0.25">
      <c r="A190" s="206">
        <f t="shared" si="9"/>
        <v>190</v>
      </c>
      <c r="B190" s="207" t="str">
        <f t="shared" si="12"/>
        <v>GH</v>
      </c>
    </row>
    <row r="191" spans="1:2" x14ac:dyDescent="0.25">
      <c r="A191" s="206">
        <f t="shared" si="9"/>
        <v>191</v>
      </c>
      <c r="B191" s="207" t="str">
        <f t="shared" si="12"/>
        <v>GI</v>
      </c>
    </row>
    <row r="192" spans="1:2" x14ac:dyDescent="0.25">
      <c r="A192" s="206">
        <f t="shared" si="9"/>
        <v>192</v>
      </c>
      <c r="B192" s="207" t="str">
        <f t="shared" si="12"/>
        <v>GJ</v>
      </c>
    </row>
    <row r="193" spans="1:2" x14ac:dyDescent="0.25">
      <c r="A193" s="206">
        <f t="shared" si="9"/>
        <v>193</v>
      </c>
      <c r="B193" s="207" t="str">
        <f t="shared" si="12"/>
        <v>GK</v>
      </c>
    </row>
    <row r="194" spans="1:2" x14ac:dyDescent="0.25">
      <c r="A194" s="206">
        <f t="shared" si="9"/>
        <v>194</v>
      </c>
      <c r="B194" s="207" t="str">
        <f t="shared" si="12"/>
        <v>GL</v>
      </c>
    </row>
    <row r="195" spans="1:2" x14ac:dyDescent="0.25">
      <c r="A195" s="206">
        <f t="shared" ref="A195:A258" si="13">A194+1</f>
        <v>195</v>
      </c>
      <c r="B195" s="207" t="str">
        <f t="shared" si="12"/>
        <v>GM</v>
      </c>
    </row>
    <row r="196" spans="1:2" x14ac:dyDescent="0.25">
      <c r="A196" s="206">
        <f t="shared" si="13"/>
        <v>196</v>
      </c>
      <c r="B196" s="207" t="str">
        <f t="shared" si="12"/>
        <v>GN</v>
      </c>
    </row>
    <row r="197" spans="1:2" x14ac:dyDescent="0.25">
      <c r="A197" s="206">
        <f t="shared" si="13"/>
        <v>197</v>
      </c>
      <c r="B197" s="207" t="str">
        <f t="shared" si="12"/>
        <v>GO</v>
      </c>
    </row>
    <row r="198" spans="1:2" x14ac:dyDescent="0.25">
      <c r="A198" s="206">
        <f t="shared" si="13"/>
        <v>198</v>
      </c>
      <c r="B198" s="207" t="str">
        <f t="shared" si="12"/>
        <v>GP</v>
      </c>
    </row>
    <row r="199" spans="1:2" x14ac:dyDescent="0.25">
      <c r="A199" s="206">
        <f t="shared" si="13"/>
        <v>199</v>
      </c>
      <c r="B199" s="207" t="str">
        <f t="shared" si="12"/>
        <v>GQ</v>
      </c>
    </row>
    <row r="200" spans="1:2" x14ac:dyDescent="0.25">
      <c r="A200" s="206">
        <f t="shared" si="13"/>
        <v>200</v>
      </c>
      <c r="B200" s="207" t="str">
        <f t="shared" si="12"/>
        <v>GR</v>
      </c>
    </row>
    <row r="201" spans="1:2" x14ac:dyDescent="0.25">
      <c r="A201" s="206">
        <f t="shared" si="13"/>
        <v>201</v>
      </c>
      <c r="B201" s="207" t="str">
        <f t="shared" si="12"/>
        <v>GS</v>
      </c>
    </row>
    <row r="202" spans="1:2" x14ac:dyDescent="0.25">
      <c r="A202" s="206">
        <f t="shared" si="13"/>
        <v>202</v>
      </c>
      <c r="B202" s="207" t="str">
        <f t="shared" si="12"/>
        <v>GT</v>
      </c>
    </row>
    <row r="203" spans="1:2" x14ac:dyDescent="0.25">
      <c r="A203" s="206">
        <f t="shared" si="13"/>
        <v>203</v>
      </c>
      <c r="B203" s="207" t="str">
        <f t="shared" si="12"/>
        <v>GU</v>
      </c>
    </row>
    <row r="204" spans="1:2" x14ac:dyDescent="0.25">
      <c r="A204" s="206">
        <f t="shared" si="13"/>
        <v>204</v>
      </c>
      <c r="B204" s="207" t="str">
        <f t="shared" si="12"/>
        <v>GV</v>
      </c>
    </row>
    <row r="205" spans="1:2" x14ac:dyDescent="0.25">
      <c r="A205" s="206">
        <f t="shared" si="13"/>
        <v>205</v>
      </c>
      <c r="B205" s="207" t="str">
        <f t="shared" si="12"/>
        <v>GW</v>
      </c>
    </row>
    <row r="206" spans="1:2" x14ac:dyDescent="0.25">
      <c r="A206" s="206">
        <f t="shared" si="13"/>
        <v>206</v>
      </c>
      <c r="B206" s="207" t="str">
        <f t="shared" si="12"/>
        <v>GX</v>
      </c>
    </row>
    <row r="207" spans="1:2" x14ac:dyDescent="0.25">
      <c r="A207" s="206">
        <f t="shared" si="13"/>
        <v>207</v>
      </c>
      <c r="B207" s="207" t="str">
        <f t="shared" si="12"/>
        <v>GY</v>
      </c>
    </row>
    <row r="208" spans="1:2" x14ac:dyDescent="0.25">
      <c r="A208" s="206">
        <f t="shared" si="13"/>
        <v>208</v>
      </c>
      <c r="B208" s="207" t="str">
        <f t="shared" si="12"/>
        <v>GZ</v>
      </c>
    </row>
    <row r="209" spans="1:2" x14ac:dyDescent="0.25">
      <c r="A209" s="206">
        <f t="shared" si="13"/>
        <v>209</v>
      </c>
      <c r="B209" s="207" t="str">
        <f>"H"&amp;B1</f>
        <v>HA</v>
      </c>
    </row>
    <row r="210" spans="1:2" x14ac:dyDescent="0.25">
      <c r="A210" s="206">
        <f t="shared" si="13"/>
        <v>210</v>
      </c>
      <c r="B210" s="207" t="str">
        <f t="shared" ref="B210:B234" si="14">"H"&amp;B2</f>
        <v>HB</v>
      </c>
    </row>
    <row r="211" spans="1:2" x14ac:dyDescent="0.25">
      <c r="A211" s="206">
        <f t="shared" si="13"/>
        <v>211</v>
      </c>
      <c r="B211" s="207" t="str">
        <f t="shared" si="14"/>
        <v>HC</v>
      </c>
    </row>
    <row r="212" spans="1:2" x14ac:dyDescent="0.25">
      <c r="A212" s="206">
        <f t="shared" si="13"/>
        <v>212</v>
      </c>
      <c r="B212" s="207" t="str">
        <f t="shared" si="14"/>
        <v>HD</v>
      </c>
    </row>
    <row r="213" spans="1:2" x14ac:dyDescent="0.25">
      <c r="A213" s="206">
        <f t="shared" si="13"/>
        <v>213</v>
      </c>
      <c r="B213" s="207" t="str">
        <f t="shared" si="14"/>
        <v>HE</v>
      </c>
    </row>
    <row r="214" spans="1:2" x14ac:dyDescent="0.25">
      <c r="A214" s="206">
        <f t="shared" si="13"/>
        <v>214</v>
      </c>
      <c r="B214" s="207" t="str">
        <f t="shared" si="14"/>
        <v>HF</v>
      </c>
    </row>
    <row r="215" spans="1:2" x14ac:dyDescent="0.25">
      <c r="A215" s="206">
        <f t="shared" si="13"/>
        <v>215</v>
      </c>
      <c r="B215" s="207" t="str">
        <f t="shared" si="14"/>
        <v>HG</v>
      </c>
    </row>
    <row r="216" spans="1:2" x14ac:dyDescent="0.25">
      <c r="A216" s="206">
        <f t="shared" si="13"/>
        <v>216</v>
      </c>
      <c r="B216" s="207" t="str">
        <f t="shared" si="14"/>
        <v>HH</v>
      </c>
    </row>
    <row r="217" spans="1:2" x14ac:dyDescent="0.25">
      <c r="A217" s="206">
        <f t="shared" si="13"/>
        <v>217</v>
      </c>
      <c r="B217" s="207" t="str">
        <f t="shared" si="14"/>
        <v>HI</v>
      </c>
    </row>
    <row r="218" spans="1:2" x14ac:dyDescent="0.25">
      <c r="A218" s="206">
        <f t="shared" si="13"/>
        <v>218</v>
      </c>
      <c r="B218" s="207" t="str">
        <f t="shared" si="14"/>
        <v>HJ</v>
      </c>
    </row>
    <row r="219" spans="1:2" x14ac:dyDescent="0.25">
      <c r="A219" s="206">
        <f t="shared" si="13"/>
        <v>219</v>
      </c>
      <c r="B219" s="207" t="str">
        <f t="shared" si="14"/>
        <v>HK</v>
      </c>
    </row>
    <row r="220" spans="1:2" x14ac:dyDescent="0.25">
      <c r="A220" s="206">
        <f t="shared" si="13"/>
        <v>220</v>
      </c>
      <c r="B220" s="207" t="str">
        <f t="shared" si="14"/>
        <v>HL</v>
      </c>
    </row>
    <row r="221" spans="1:2" x14ac:dyDescent="0.25">
      <c r="A221" s="206">
        <f t="shared" si="13"/>
        <v>221</v>
      </c>
      <c r="B221" s="207" t="str">
        <f t="shared" si="14"/>
        <v>HM</v>
      </c>
    </row>
    <row r="222" spans="1:2" x14ac:dyDescent="0.25">
      <c r="A222" s="206">
        <f t="shared" si="13"/>
        <v>222</v>
      </c>
      <c r="B222" s="207" t="str">
        <f t="shared" si="14"/>
        <v>HN</v>
      </c>
    </row>
    <row r="223" spans="1:2" x14ac:dyDescent="0.25">
      <c r="A223" s="206">
        <f t="shared" si="13"/>
        <v>223</v>
      </c>
      <c r="B223" s="207" t="str">
        <f t="shared" si="14"/>
        <v>HO</v>
      </c>
    </row>
    <row r="224" spans="1:2" x14ac:dyDescent="0.25">
      <c r="A224" s="206">
        <f t="shared" si="13"/>
        <v>224</v>
      </c>
      <c r="B224" s="207" t="str">
        <f t="shared" si="14"/>
        <v>HP</v>
      </c>
    </row>
    <row r="225" spans="1:2" x14ac:dyDescent="0.25">
      <c r="A225" s="206">
        <f t="shared" si="13"/>
        <v>225</v>
      </c>
      <c r="B225" s="207" t="str">
        <f t="shared" si="14"/>
        <v>HQ</v>
      </c>
    </row>
    <row r="226" spans="1:2" x14ac:dyDescent="0.25">
      <c r="A226" s="206">
        <f t="shared" si="13"/>
        <v>226</v>
      </c>
      <c r="B226" s="207" t="str">
        <f t="shared" si="14"/>
        <v>HR</v>
      </c>
    </row>
    <row r="227" spans="1:2" x14ac:dyDescent="0.25">
      <c r="A227" s="206">
        <f t="shared" si="13"/>
        <v>227</v>
      </c>
      <c r="B227" s="207" t="str">
        <f t="shared" si="14"/>
        <v>HS</v>
      </c>
    </row>
    <row r="228" spans="1:2" x14ac:dyDescent="0.25">
      <c r="A228" s="206">
        <f t="shared" si="13"/>
        <v>228</v>
      </c>
      <c r="B228" s="207" t="str">
        <f t="shared" si="14"/>
        <v>HT</v>
      </c>
    </row>
    <row r="229" spans="1:2" x14ac:dyDescent="0.25">
      <c r="A229" s="206">
        <f t="shared" si="13"/>
        <v>229</v>
      </c>
      <c r="B229" s="207" t="str">
        <f t="shared" si="14"/>
        <v>HU</v>
      </c>
    </row>
    <row r="230" spans="1:2" x14ac:dyDescent="0.25">
      <c r="A230" s="206">
        <f t="shared" si="13"/>
        <v>230</v>
      </c>
      <c r="B230" s="207" t="str">
        <f t="shared" si="14"/>
        <v>HV</v>
      </c>
    </row>
    <row r="231" spans="1:2" x14ac:dyDescent="0.25">
      <c r="A231" s="206">
        <f t="shared" si="13"/>
        <v>231</v>
      </c>
      <c r="B231" s="207" t="str">
        <f t="shared" si="14"/>
        <v>HW</v>
      </c>
    </row>
    <row r="232" spans="1:2" x14ac:dyDescent="0.25">
      <c r="A232" s="206">
        <f t="shared" si="13"/>
        <v>232</v>
      </c>
      <c r="B232" s="207" t="str">
        <f t="shared" si="14"/>
        <v>HX</v>
      </c>
    </row>
    <row r="233" spans="1:2" x14ac:dyDescent="0.25">
      <c r="A233" s="206">
        <f t="shared" si="13"/>
        <v>233</v>
      </c>
      <c r="B233" s="207" t="str">
        <f t="shared" si="14"/>
        <v>HY</v>
      </c>
    </row>
    <row r="234" spans="1:2" x14ac:dyDescent="0.25">
      <c r="A234" s="206">
        <f t="shared" si="13"/>
        <v>234</v>
      </c>
      <c r="B234" s="207" t="str">
        <f t="shared" si="14"/>
        <v>HZ</v>
      </c>
    </row>
    <row r="235" spans="1:2" x14ac:dyDescent="0.25">
      <c r="A235" s="206">
        <f t="shared" si="13"/>
        <v>235</v>
      </c>
      <c r="B235" s="207" t="str">
        <f t="shared" ref="B235:B260" si="15">"I"&amp;B1</f>
        <v>IA</v>
      </c>
    </row>
    <row r="236" spans="1:2" x14ac:dyDescent="0.25">
      <c r="A236" s="206">
        <f t="shared" si="13"/>
        <v>236</v>
      </c>
      <c r="B236" s="207" t="str">
        <f t="shared" si="15"/>
        <v>IB</v>
      </c>
    </row>
    <row r="237" spans="1:2" x14ac:dyDescent="0.25">
      <c r="A237" s="206">
        <f t="shared" si="13"/>
        <v>237</v>
      </c>
      <c r="B237" s="207" t="str">
        <f t="shared" si="15"/>
        <v>IC</v>
      </c>
    </row>
    <row r="238" spans="1:2" x14ac:dyDescent="0.25">
      <c r="A238" s="206">
        <f t="shared" si="13"/>
        <v>238</v>
      </c>
      <c r="B238" s="207" t="str">
        <f t="shared" si="15"/>
        <v>ID</v>
      </c>
    </row>
    <row r="239" spans="1:2" x14ac:dyDescent="0.25">
      <c r="A239" s="206">
        <f t="shared" si="13"/>
        <v>239</v>
      </c>
      <c r="B239" s="207" t="str">
        <f t="shared" si="15"/>
        <v>IE</v>
      </c>
    </row>
    <row r="240" spans="1:2" x14ac:dyDescent="0.25">
      <c r="A240" s="206">
        <f t="shared" si="13"/>
        <v>240</v>
      </c>
      <c r="B240" s="207" t="str">
        <f t="shared" si="15"/>
        <v>IF</v>
      </c>
    </row>
    <row r="241" spans="1:2" x14ac:dyDescent="0.25">
      <c r="A241" s="206">
        <f t="shared" si="13"/>
        <v>241</v>
      </c>
      <c r="B241" s="207" t="str">
        <f t="shared" si="15"/>
        <v>IG</v>
      </c>
    </row>
    <row r="242" spans="1:2" x14ac:dyDescent="0.25">
      <c r="A242" s="206">
        <f t="shared" si="13"/>
        <v>242</v>
      </c>
      <c r="B242" s="207" t="str">
        <f t="shared" si="15"/>
        <v>IH</v>
      </c>
    </row>
    <row r="243" spans="1:2" x14ac:dyDescent="0.25">
      <c r="A243" s="206">
        <f t="shared" si="13"/>
        <v>243</v>
      </c>
      <c r="B243" s="207" t="str">
        <f t="shared" si="15"/>
        <v>II</v>
      </c>
    </row>
    <row r="244" spans="1:2" x14ac:dyDescent="0.25">
      <c r="A244" s="206">
        <f t="shared" si="13"/>
        <v>244</v>
      </c>
      <c r="B244" s="207" t="str">
        <f t="shared" si="15"/>
        <v>IJ</v>
      </c>
    </row>
    <row r="245" spans="1:2" x14ac:dyDescent="0.25">
      <c r="A245" s="206">
        <f t="shared" si="13"/>
        <v>245</v>
      </c>
      <c r="B245" s="207" t="str">
        <f t="shared" si="15"/>
        <v>IK</v>
      </c>
    </row>
    <row r="246" spans="1:2" x14ac:dyDescent="0.25">
      <c r="A246" s="206">
        <f t="shared" si="13"/>
        <v>246</v>
      </c>
      <c r="B246" s="207" t="str">
        <f t="shared" si="15"/>
        <v>IL</v>
      </c>
    </row>
    <row r="247" spans="1:2" x14ac:dyDescent="0.25">
      <c r="A247" s="206">
        <f t="shared" si="13"/>
        <v>247</v>
      </c>
      <c r="B247" s="207" t="str">
        <f t="shared" si="15"/>
        <v>IM</v>
      </c>
    </row>
    <row r="248" spans="1:2" x14ac:dyDescent="0.25">
      <c r="A248" s="206">
        <f t="shared" si="13"/>
        <v>248</v>
      </c>
      <c r="B248" s="207" t="str">
        <f t="shared" si="15"/>
        <v>IN</v>
      </c>
    </row>
    <row r="249" spans="1:2" x14ac:dyDescent="0.25">
      <c r="A249" s="206">
        <f t="shared" si="13"/>
        <v>249</v>
      </c>
      <c r="B249" s="207" t="str">
        <f t="shared" si="15"/>
        <v>IO</v>
      </c>
    </row>
    <row r="250" spans="1:2" x14ac:dyDescent="0.25">
      <c r="A250" s="206">
        <f t="shared" si="13"/>
        <v>250</v>
      </c>
      <c r="B250" s="207" t="str">
        <f t="shared" si="15"/>
        <v>IP</v>
      </c>
    </row>
    <row r="251" spans="1:2" x14ac:dyDescent="0.25">
      <c r="A251" s="206">
        <f t="shared" si="13"/>
        <v>251</v>
      </c>
      <c r="B251" s="207" t="str">
        <f t="shared" si="15"/>
        <v>IQ</v>
      </c>
    </row>
    <row r="252" spans="1:2" x14ac:dyDescent="0.25">
      <c r="A252" s="206">
        <f t="shared" si="13"/>
        <v>252</v>
      </c>
      <c r="B252" s="207" t="str">
        <f t="shared" si="15"/>
        <v>IR</v>
      </c>
    </row>
    <row r="253" spans="1:2" x14ac:dyDescent="0.25">
      <c r="A253" s="206">
        <f t="shared" si="13"/>
        <v>253</v>
      </c>
      <c r="B253" s="207" t="str">
        <f t="shared" si="15"/>
        <v>IS</v>
      </c>
    </row>
    <row r="254" spans="1:2" x14ac:dyDescent="0.25">
      <c r="A254" s="206">
        <f t="shared" si="13"/>
        <v>254</v>
      </c>
      <c r="B254" s="207" t="str">
        <f t="shared" si="15"/>
        <v>IT</v>
      </c>
    </row>
    <row r="255" spans="1:2" x14ac:dyDescent="0.25">
      <c r="A255" s="206">
        <f t="shared" si="13"/>
        <v>255</v>
      </c>
      <c r="B255" s="207" t="str">
        <f t="shared" si="15"/>
        <v>IU</v>
      </c>
    </row>
    <row r="256" spans="1:2" x14ac:dyDescent="0.25">
      <c r="A256" s="206">
        <f t="shared" si="13"/>
        <v>256</v>
      </c>
      <c r="B256" s="207" t="str">
        <f t="shared" si="15"/>
        <v>IV</v>
      </c>
    </row>
    <row r="257" spans="1:2" x14ac:dyDescent="0.25">
      <c r="A257" s="206">
        <f t="shared" si="13"/>
        <v>257</v>
      </c>
      <c r="B257" s="207" t="str">
        <f t="shared" si="15"/>
        <v>IW</v>
      </c>
    </row>
    <row r="258" spans="1:2" x14ac:dyDescent="0.25">
      <c r="A258" s="206">
        <f t="shared" si="13"/>
        <v>258</v>
      </c>
      <c r="B258" s="207" t="str">
        <f t="shared" si="15"/>
        <v>IX</v>
      </c>
    </row>
    <row r="259" spans="1:2" x14ac:dyDescent="0.25">
      <c r="A259" s="206">
        <f t="shared" ref="A259:A322" si="16">A258+1</f>
        <v>259</v>
      </c>
      <c r="B259" s="207" t="str">
        <f t="shared" si="15"/>
        <v>IY</v>
      </c>
    </row>
    <row r="260" spans="1:2" x14ac:dyDescent="0.25">
      <c r="A260" s="206">
        <f t="shared" si="16"/>
        <v>260</v>
      </c>
      <c r="B260" s="207" t="str">
        <f t="shared" si="15"/>
        <v>IZ</v>
      </c>
    </row>
    <row r="261" spans="1:2" x14ac:dyDescent="0.25">
      <c r="A261" s="206">
        <f t="shared" si="16"/>
        <v>261</v>
      </c>
      <c r="B261" s="207" t="str">
        <f>"J"&amp;B1</f>
        <v>JA</v>
      </c>
    </row>
    <row r="262" spans="1:2" x14ac:dyDescent="0.25">
      <c r="A262" s="206">
        <f t="shared" si="16"/>
        <v>262</v>
      </c>
      <c r="B262" s="207" t="str">
        <f t="shared" ref="B262:B286" si="17">"J"&amp;B2</f>
        <v>JB</v>
      </c>
    </row>
    <row r="263" spans="1:2" x14ac:dyDescent="0.25">
      <c r="A263" s="206">
        <f t="shared" si="16"/>
        <v>263</v>
      </c>
      <c r="B263" s="207" t="str">
        <f t="shared" si="17"/>
        <v>JC</v>
      </c>
    </row>
    <row r="264" spans="1:2" x14ac:dyDescent="0.25">
      <c r="A264" s="206">
        <f t="shared" si="16"/>
        <v>264</v>
      </c>
      <c r="B264" s="207" t="str">
        <f t="shared" si="17"/>
        <v>JD</v>
      </c>
    </row>
    <row r="265" spans="1:2" x14ac:dyDescent="0.25">
      <c r="A265" s="206">
        <f t="shared" si="16"/>
        <v>265</v>
      </c>
      <c r="B265" s="207" t="str">
        <f t="shared" si="17"/>
        <v>JE</v>
      </c>
    </row>
    <row r="266" spans="1:2" x14ac:dyDescent="0.25">
      <c r="A266" s="206">
        <f t="shared" si="16"/>
        <v>266</v>
      </c>
      <c r="B266" s="207" t="str">
        <f t="shared" si="17"/>
        <v>JF</v>
      </c>
    </row>
    <row r="267" spans="1:2" x14ac:dyDescent="0.25">
      <c r="A267" s="206">
        <f t="shared" si="16"/>
        <v>267</v>
      </c>
      <c r="B267" s="207" t="str">
        <f t="shared" si="17"/>
        <v>JG</v>
      </c>
    </row>
    <row r="268" spans="1:2" x14ac:dyDescent="0.25">
      <c r="A268" s="206">
        <f t="shared" si="16"/>
        <v>268</v>
      </c>
      <c r="B268" s="207" t="str">
        <f t="shared" si="17"/>
        <v>JH</v>
      </c>
    </row>
    <row r="269" spans="1:2" x14ac:dyDescent="0.25">
      <c r="A269" s="206">
        <f t="shared" si="16"/>
        <v>269</v>
      </c>
      <c r="B269" s="207" t="str">
        <f t="shared" si="17"/>
        <v>JI</v>
      </c>
    </row>
    <row r="270" spans="1:2" x14ac:dyDescent="0.25">
      <c r="A270" s="206">
        <f t="shared" si="16"/>
        <v>270</v>
      </c>
      <c r="B270" s="207" t="str">
        <f t="shared" si="17"/>
        <v>JJ</v>
      </c>
    </row>
    <row r="271" spans="1:2" x14ac:dyDescent="0.25">
      <c r="A271" s="206">
        <f t="shared" si="16"/>
        <v>271</v>
      </c>
      <c r="B271" s="207" t="str">
        <f t="shared" si="17"/>
        <v>JK</v>
      </c>
    </row>
    <row r="272" spans="1:2" x14ac:dyDescent="0.25">
      <c r="A272" s="206">
        <f t="shared" si="16"/>
        <v>272</v>
      </c>
      <c r="B272" s="207" t="str">
        <f t="shared" si="17"/>
        <v>JL</v>
      </c>
    </row>
    <row r="273" spans="1:2" x14ac:dyDescent="0.25">
      <c r="A273" s="206">
        <f t="shared" si="16"/>
        <v>273</v>
      </c>
      <c r="B273" s="207" t="str">
        <f t="shared" si="17"/>
        <v>JM</v>
      </c>
    </row>
    <row r="274" spans="1:2" x14ac:dyDescent="0.25">
      <c r="A274" s="206">
        <f t="shared" si="16"/>
        <v>274</v>
      </c>
      <c r="B274" s="207" t="str">
        <f t="shared" si="17"/>
        <v>JN</v>
      </c>
    </row>
    <row r="275" spans="1:2" x14ac:dyDescent="0.25">
      <c r="A275" s="206">
        <f t="shared" si="16"/>
        <v>275</v>
      </c>
      <c r="B275" s="207" t="str">
        <f t="shared" si="17"/>
        <v>JO</v>
      </c>
    </row>
    <row r="276" spans="1:2" x14ac:dyDescent="0.25">
      <c r="A276" s="206">
        <f t="shared" si="16"/>
        <v>276</v>
      </c>
      <c r="B276" s="207" t="str">
        <f t="shared" si="17"/>
        <v>JP</v>
      </c>
    </row>
    <row r="277" spans="1:2" x14ac:dyDescent="0.25">
      <c r="A277" s="206">
        <f t="shared" si="16"/>
        <v>277</v>
      </c>
      <c r="B277" s="207" t="str">
        <f t="shared" si="17"/>
        <v>JQ</v>
      </c>
    </row>
    <row r="278" spans="1:2" x14ac:dyDescent="0.25">
      <c r="A278" s="206">
        <f t="shared" si="16"/>
        <v>278</v>
      </c>
      <c r="B278" s="207" t="str">
        <f t="shared" si="17"/>
        <v>JR</v>
      </c>
    </row>
    <row r="279" spans="1:2" x14ac:dyDescent="0.25">
      <c r="A279" s="206">
        <f t="shared" si="16"/>
        <v>279</v>
      </c>
      <c r="B279" s="207" t="str">
        <f t="shared" si="17"/>
        <v>JS</v>
      </c>
    </row>
    <row r="280" spans="1:2" x14ac:dyDescent="0.25">
      <c r="A280" s="206">
        <f t="shared" si="16"/>
        <v>280</v>
      </c>
      <c r="B280" s="207" t="str">
        <f t="shared" si="17"/>
        <v>JT</v>
      </c>
    </row>
    <row r="281" spans="1:2" x14ac:dyDescent="0.25">
      <c r="A281" s="206">
        <f t="shared" si="16"/>
        <v>281</v>
      </c>
      <c r="B281" s="207" t="str">
        <f t="shared" si="17"/>
        <v>JU</v>
      </c>
    </row>
    <row r="282" spans="1:2" x14ac:dyDescent="0.25">
      <c r="A282" s="206">
        <f t="shared" si="16"/>
        <v>282</v>
      </c>
      <c r="B282" s="207" t="str">
        <f t="shared" si="17"/>
        <v>JV</v>
      </c>
    </row>
    <row r="283" spans="1:2" x14ac:dyDescent="0.25">
      <c r="A283" s="206">
        <f t="shared" si="16"/>
        <v>283</v>
      </c>
      <c r="B283" s="207" t="str">
        <f t="shared" si="17"/>
        <v>JW</v>
      </c>
    </row>
    <row r="284" spans="1:2" x14ac:dyDescent="0.25">
      <c r="A284" s="206">
        <f t="shared" si="16"/>
        <v>284</v>
      </c>
      <c r="B284" s="207" t="str">
        <f t="shared" si="17"/>
        <v>JX</v>
      </c>
    </row>
    <row r="285" spans="1:2" x14ac:dyDescent="0.25">
      <c r="A285" s="206">
        <f t="shared" si="16"/>
        <v>285</v>
      </c>
      <c r="B285" s="207" t="str">
        <f t="shared" si="17"/>
        <v>JY</v>
      </c>
    </row>
    <row r="286" spans="1:2" x14ac:dyDescent="0.25">
      <c r="A286" s="206">
        <f t="shared" si="16"/>
        <v>286</v>
      </c>
      <c r="B286" s="207" t="str">
        <f t="shared" si="17"/>
        <v>JZ</v>
      </c>
    </row>
    <row r="287" spans="1:2" x14ac:dyDescent="0.25">
      <c r="A287" s="206">
        <f t="shared" si="16"/>
        <v>287</v>
      </c>
      <c r="B287" s="207" t="str">
        <f>"K"&amp;B1</f>
        <v>KA</v>
      </c>
    </row>
    <row r="288" spans="1:2" x14ac:dyDescent="0.25">
      <c r="A288" s="206">
        <f t="shared" si="16"/>
        <v>288</v>
      </c>
      <c r="B288" s="207" t="str">
        <f t="shared" ref="B288:B312" si="18">"K"&amp;B2</f>
        <v>KB</v>
      </c>
    </row>
    <row r="289" spans="1:2" x14ac:dyDescent="0.25">
      <c r="A289" s="206">
        <f t="shared" si="16"/>
        <v>289</v>
      </c>
      <c r="B289" s="207" t="str">
        <f t="shared" si="18"/>
        <v>KC</v>
      </c>
    </row>
    <row r="290" spans="1:2" x14ac:dyDescent="0.25">
      <c r="A290" s="206">
        <f t="shared" si="16"/>
        <v>290</v>
      </c>
      <c r="B290" s="207" t="str">
        <f t="shared" si="18"/>
        <v>KD</v>
      </c>
    </row>
    <row r="291" spans="1:2" x14ac:dyDescent="0.25">
      <c r="A291" s="206">
        <f t="shared" si="16"/>
        <v>291</v>
      </c>
      <c r="B291" s="207" t="str">
        <f t="shared" si="18"/>
        <v>KE</v>
      </c>
    </row>
    <row r="292" spans="1:2" x14ac:dyDescent="0.25">
      <c r="A292" s="206">
        <f t="shared" si="16"/>
        <v>292</v>
      </c>
      <c r="B292" s="207" t="str">
        <f t="shared" si="18"/>
        <v>KF</v>
      </c>
    </row>
    <row r="293" spans="1:2" x14ac:dyDescent="0.25">
      <c r="A293" s="206">
        <f t="shared" si="16"/>
        <v>293</v>
      </c>
      <c r="B293" s="207" t="str">
        <f t="shared" si="18"/>
        <v>KG</v>
      </c>
    </row>
    <row r="294" spans="1:2" x14ac:dyDescent="0.25">
      <c r="A294" s="206">
        <f t="shared" si="16"/>
        <v>294</v>
      </c>
      <c r="B294" s="207" t="str">
        <f t="shared" si="18"/>
        <v>KH</v>
      </c>
    </row>
    <row r="295" spans="1:2" x14ac:dyDescent="0.25">
      <c r="A295" s="206">
        <f t="shared" si="16"/>
        <v>295</v>
      </c>
      <c r="B295" s="207" t="str">
        <f t="shared" si="18"/>
        <v>KI</v>
      </c>
    </row>
    <row r="296" spans="1:2" x14ac:dyDescent="0.25">
      <c r="A296" s="206">
        <f t="shared" si="16"/>
        <v>296</v>
      </c>
      <c r="B296" s="207" t="str">
        <f t="shared" si="18"/>
        <v>KJ</v>
      </c>
    </row>
    <row r="297" spans="1:2" x14ac:dyDescent="0.25">
      <c r="A297" s="206">
        <f t="shared" si="16"/>
        <v>297</v>
      </c>
      <c r="B297" s="207" t="str">
        <f t="shared" si="18"/>
        <v>KK</v>
      </c>
    </row>
    <row r="298" spans="1:2" x14ac:dyDescent="0.25">
      <c r="A298" s="206">
        <f t="shared" si="16"/>
        <v>298</v>
      </c>
      <c r="B298" s="207" t="str">
        <f t="shared" si="18"/>
        <v>KL</v>
      </c>
    </row>
    <row r="299" spans="1:2" x14ac:dyDescent="0.25">
      <c r="A299" s="206">
        <f t="shared" si="16"/>
        <v>299</v>
      </c>
      <c r="B299" s="207" t="str">
        <f t="shared" si="18"/>
        <v>KM</v>
      </c>
    </row>
    <row r="300" spans="1:2" x14ac:dyDescent="0.25">
      <c r="A300" s="206">
        <f t="shared" si="16"/>
        <v>300</v>
      </c>
      <c r="B300" s="207" t="str">
        <f t="shared" si="18"/>
        <v>KN</v>
      </c>
    </row>
    <row r="301" spans="1:2" x14ac:dyDescent="0.25">
      <c r="A301" s="206">
        <f t="shared" si="16"/>
        <v>301</v>
      </c>
      <c r="B301" s="207" t="str">
        <f t="shared" si="18"/>
        <v>KO</v>
      </c>
    </row>
    <row r="302" spans="1:2" x14ac:dyDescent="0.25">
      <c r="A302" s="206">
        <f t="shared" si="16"/>
        <v>302</v>
      </c>
      <c r="B302" s="207" t="str">
        <f t="shared" si="18"/>
        <v>KP</v>
      </c>
    </row>
    <row r="303" spans="1:2" x14ac:dyDescent="0.25">
      <c r="A303" s="206">
        <f t="shared" si="16"/>
        <v>303</v>
      </c>
      <c r="B303" s="207" t="str">
        <f t="shared" si="18"/>
        <v>KQ</v>
      </c>
    </row>
    <row r="304" spans="1:2" x14ac:dyDescent="0.25">
      <c r="A304" s="206">
        <f t="shared" si="16"/>
        <v>304</v>
      </c>
      <c r="B304" s="207" t="str">
        <f t="shared" si="18"/>
        <v>KR</v>
      </c>
    </row>
    <row r="305" spans="1:2" x14ac:dyDescent="0.25">
      <c r="A305" s="206">
        <f t="shared" si="16"/>
        <v>305</v>
      </c>
      <c r="B305" s="207" t="str">
        <f t="shared" si="18"/>
        <v>KS</v>
      </c>
    </row>
    <row r="306" spans="1:2" x14ac:dyDescent="0.25">
      <c r="A306" s="206">
        <f t="shared" si="16"/>
        <v>306</v>
      </c>
      <c r="B306" s="207" t="str">
        <f t="shared" si="18"/>
        <v>KT</v>
      </c>
    </row>
    <row r="307" spans="1:2" x14ac:dyDescent="0.25">
      <c r="A307" s="206">
        <f t="shared" si="16"/>
        <v>307</v>
      </c>
      <c r="B307" s="207" t="str">
        <f t="shared" si="18"/>
        <v>KU</v>
      </c>
    </row>
    <row r="308" spans="1:2" x14ac:dyDescent="0.25">
      <c r="A308" s="206">
        <f t="shared" si="16"/>
        <v>308</v>
      </c>
      <c r="B308" s="207" t="str">
        <f t="shared" si="18"/>
        <v>KV</v>
      </c>
    </row>
    <row r="309" spans="1:2" x14ac:dyDescent="0.25">
      <c r="A309" s="206">
        <f t="shared" si="16"/>
        <v>309</v>
      </c>
      <c r="B309" s="207" t="str">
        <f t="shared" si="18"/>
        <v>KW</v>
      </c>
    </row>
    <row r="310" spans="1:2" x14ac:dyDescent="0.25">
      <c r="A310" s="206">
        <f t="shared" si="16"/>
        <v>310</v>
      </c>
      <c r="B310" s="207" t="str">
        <f t="shared" si="18"/>
        <v>KX</v>
      </c>
    </row>
    <row r="311" spans="1:2" x14ac:dyDescent="0.25">
      <c r="A311" s="206">
        <f t="shared" si="16"/>
        <v>311</v>
      </c>
      <c r="B311" s="207" t="str">
        <f t="shared" si="18"/>
        <v>KY</v>
      </c>
    </row>
    <row r="312" spans="1:2" x14ac:dyDescent="0.25">
      <c r="A312" s="206">
        <f t="shared" si="16"/>
        <v>312</v>
      </c>
      <c r="B312" s="207" t="str">
        <f t="shared" si="18"/>
        <v>KZ</v>
      </c>
    </row>
    <row r="313" spans="1:2" x14ac:dyDescent="0.25">
      <c r="A313" s="206">
        <f t="shared" si="16"/>
        <v>313</v>
      </c>
      <c r="B313" s="207" t="str">
        <f>"K"&amp;B1</f>
        <v>KA</v>
      </c>
    </row>
    <row r="314" spans="1:2" x14ac:dyDescent="0.25">
      <c r="A314" s="206">
        <f t="shared" si="16"/>
        <v>314</v>
      </c>
      <c r="B314" s="207" t="str">
        <f t="shared" ref="B314:B338" si="19">"K"&amp;B2</f>
        <v>KB</v>
      </c>
    </row>
    <row r="315" spans="1:2" x14ac:dyDescent="0.25">
      <c r="A315" s="206">
        <f t="shared" si="16"/>
        <v>315</v>
      </c>
      <c r="B315" s="207" t="str">
        <f t="shared" si="19"/>
        <v>KC</v>
      </c>
    </row>
    <row r="316" spans="1:2" x14ac:dyDescent="0.25">
      <c r="A316" s="206">
        <f t="shared" si="16"/>
        <v>316</v>
      </c>
      <c r="B316" s="207" t="str">
        <f t="shared" si="19"/>
        <v>KD</v>
      </c>
    </row>
    <row r="317" spans="1:2" x14ac:dyDescent="0.25">
      <c r="A317" s="206">
        <f t="shared" si="16"/>
        <v>317</v>
      </c>
      <c r="B317" s="207" t="str">
        <f t="shared" si="19"/>
        <v>KE</v>
      </c>
    </row>
    <row r="318" spans="1:2" x14ac:dyDescent="0.25">
      <c r="A318" s="206">
        <f t="shared" si="16"/>
        <v>318</v>
      </c>
      <c r="B318" s="207" t="str">
        <f t="shared" si="19"/>
        <v>KF</v>
      </c>
    </row>
    <row r="319" spans="1:2" x14ac:dyDescent="0.25">
      <c r="A319" s="206">
        <f t="shared" si="16"/>
        <v>319</v>
      </c>
      <c r="B319" s="207" t="str">
        <f t="shared" si="19"/>
        <v>KG</v>
      </c>
    </row>
    <row r="320" spans="1:2" x14ac:dyDescent="0.25">
      <c r="A320" s="206">
        <f t="shared" si="16"/>
        <v>320</v>
      </c>
      <c r="B320" s="207" t="str">
        <f t="shared" si="19"/>
        <v>KH</v>
      </c>
    </row>
    <row r="321" spans="1:2" x14ac:dyDescent="0.25">
      <c r="A321" s="206">
        <f t="shared" si="16"/>
        <v>321</v>
      </c>
      <c r="B321" s="207" t="str">
        <f t="shared" si="19"/>
        <v>KI</v>
      </c>
    </row>
    <row r="322" spans="1:2" x14ac:dyDescent="0.25">
      <c r="A322" s="206">
        <f t="shared" si="16"/>
        <v>322</v>
      </c>
      <c r="B322" s="207" t="str">
        <f t="shared" si="19"/>
        <v>KJ</v>
      </c>
    </row>
    <row r="323" spans="1:2" x14ac:dyDescent="0.25">
      <c r="A323" s="206">
        <f t="shared" ref="A323:A364" si="20">A322+1</f>
        <v>323</v>
      </c>
      <c r="B323" s="207" t="str">
        <f t="shared" si="19"/>
        <v>KK</v>
      </c>
    </row>
    <row r="324" spans="1:2" x14ac:dyDescent="0.25">
      <c r="A324" s="206">
        <f t="shared" si="20"/>
        <v>324</v>
      </c>
      <c r="B324" s="207" t="str">
        <f t="shared" si="19"/>
        <v>KL</v>
      </c>
    </row>
    <row r="325" spans="1:2" x14ac:dyDescent="0.25">
      <c r="A325" s="206">
        <f t="shared" si="20"/>
        <v>325</v>
      </c>
      <c r="B325" s="207" t="str">
        <f t="shared" si="19"/>
        <v>KM</v>
      </c>
    </row>
    <row r="326" spans="1:2" x14ac:dyDescent="0.25">
      <c r="A326" s="206">
        <f t="shared" si="20"/>
        <v>326</v>
      </c>
      <c r="B326" s="207" t="str">
        <f t="shared" si="19"/>
        <v>KN</v>
      </c>
    </row>
    <row r="327" spans="1:2" x14ac:dyDescent="0.25">
      <c r="A327" s="206">
        <f t="shared" si="20"/>
        <v>327</v>
      </c>
      <c r="B327" s="207" t="str">
        <f t="shared" si="19"/>
        <v>KO</v>
      </c>
    </row>
    <row r="328" spans="1:2" x14ac:dyDescent="0.25">
      <c r="A328" s="206">
        <f t="shared" si="20"/>
        <v>328</v>
      </c>
      <c r="B328" s="207" t="str">
        <f t="shared" si="19"/>
        <v>KP</v>
      </c>
    </row>
    <row r="329" spans="1:2" x14ac:dyDescent="0.25">
      <c r="A329" s="206">
        <f t="shared" si="20"/>
        <v>329</v>
      </c>
      <c r="B329" s="207" t="str">
        <f t="shared" si="19"/>
        <v>KQ</v>
      </c>
    </row>
    <row r="330" spans="1:2" x14ac:dyDescent="0.25">
      <c r="A330" s="206">
        <f t="shared" si="20"/>
        <v>330</v>
      </c>
      <c r="B330" s="207" t="str">
        <f t="shared" si="19"/>
        <v>KR</v>
      </c>
    </row>
    <row r="331" spans="1:2" x14ac:dyDescent="0.25">
      <c r="A331" s="206">
        <f t="shared" si="20"/>
        <v>331</v>
      </c>
      <c r="B331" s="207" t="str">
        <f t="shared" si="19"/>
        <v>KS</v>
      </c>
    </row>
    <row r="332" spans="1:2" x14ac:dyDescent="0.25">
      <c r="A332" s="206">
        <f t="shared" si="20"/>
        <v>332</v>
      </c>
      <c r="B332" s="207" t="str">
        <f t="shared" si="19"/>
        <v>KT</v>
      </c>
    </row>
    <row r="333" spans="1:2" x14ac:dyDescent="0.25">
      <c r="A333" s="206">
        <f t="shared" si="20"/>
        <v>333</v>
      </c>
      <c r="B333" s="207" t="str">
        <f t="shared" si="19"/>
        <v>KU</v>
      </c>
    </row>
    <row r="334" spans="1:2" x14ac:dyDescent="0.25">
      <c r="A334" s="206">
        <f t="shared" si="20"/>
        <v>334</v>
      </c>
      <c r="B334" s="207" t="str">
        <f t="shared" si="19"/>
        <v>KV</v>
      </c>
    </row>
    <row r="335" spans="1:2" x14ac:dyDescent="0.25">
      <c r="A335" s="206">
        <f t="shared" si="20"/>
        <v>335</v>
      </c>
      <c r="B335" s="207" t="str">
        <f t="shared" si="19"/>
        <v>KW</v>
      </c>
    </row>
    <row r="336" spans="1:2" x14ac:dyDescent="0.25">
      <c r="A336" s="206">
        <f t="shared" si="20"/>
        <v>336</v>
      </c>
      <c r="B336" s="207" t="str">
        <f t="shared" si="19"/>
        <v>KX</v>
      </c>
    </row>
    <row r="337" spans="1:2" x14ac:dyDescent="0.25">
      <c r="A337" s="206">
        <f t="shared" si="20"/>
        <v>337</v>
      </c>
      <c r="B337" s="207" t="str">
        <f t="shared" si="19"/>
        <v>KY</v>
      </c>
    </row>
    <row r="338" spans="1:2" x14ac:dyDescent="0.25">
      <c r="A338" s="206">
        <f t="shared" si="20"/>
        <v>338</v>
      </c>
      <c r="B338" s="207" t="str">
        <f t="shared" si="19"/>
        <v>KZ</v>
      </c>
    </row>
    <row r="339" spans="1:2" x14ac:dyDescent="0.25">
      <c r="A339" s="206">
        <f t="shared" si="20"/>
        <v>339</v>
      </c>
      <c r="B339" s="207" t="str">
        <f>"K"&amp;B1</f>
        <v>KA</v>
      </c>
    </row>
    <row r="340" spans="1:2" x14ac:dyDescent="0.25">
      <c r="A340" s="206">
        <f t="shared" si="20"/>
        <v>340</v>
      </c>
      <c r="B340" s="207" t="str">
        <f t="shared" ref="B340:B364" si="21">"K"&amp;B2</f>
        <v>KB</v>
      </c>
    </row>
    <row r="341" spans="1:2" x14ac:dyDescent="0.25">
      <c r="A341" s="206">
        <f t="shared" si="20"/>
        <v>341</v>
      </c>
      <c r="B341" s="207" t="str">
        <f t="shared" si="21"/>
        <v>KC</v>
      </c>
    </row>
    <row r="342" spans="1:2" x14ac:dyDescent="0.25">
      <c r="A342" s="206">
        <f t="shared" si="20"/>
        <v>342</v>
      </c>
      <c r="B342" s="207" t="str">
        <f t="shared" si="21"/>
        <v>KD</v>
      </c>
    </row>
    <row r="343" spans="1:2" x14ac:dyDescent="0.25">
      <c r="A343" s="206">
        <f t="shared" si="20"/>
        <v>343</v>
      </c>
      <c r="B343" s="207" t="str">
        <f t="shared" si="21"/>
        <v>KE</v>
      </c>
    </row>
    <row r="344" spans="1:2" x14ac:dyDescent="0.25">
      <c r="A344" s="206">
        <f t="shared" si="20"/>
        <v>344</v>
      </c>
      <c r="B344" s="207" t="str">
        <f t="shared" si="21"/>
        <v>KF</v>
      </c>
    </row>
    <row r="345" spans="1:2" x14ac:dyDescent="0.25">
      <c r="A345" s="206">
        <f t="shared" si="20"/>
        <v>345</v>
      </c>
      <c r="B345" s="207" t="str">
        <f t="shared" si="21"/>
        <v>KG</v>
      </c>
    </row>
    <row r="346" spans="1:2" x14ac:dyDescent="0.25">
      <c r="A346" s="206">
        <f t="shared" si="20"/>
        <v>346</v>
      </c>
      <c r="B346" s="207" t="str">
        <f t="shared" si="21"/>
        <v>KH</v>
      </c>
    </row>
    <row r="347" spans="1:2" x14ac:dyDescent="0.25">
      <c r="A347" s="206">
        <f t="shared" si="20"/>
        <v>347</v>
      </c>
      <c r="B347" s="207" t="str">
        <f t="shared" si="21"/>
        <v>KI</v>
      </c>
    </row>
    <row r="348" spans="1:2" x14ac:dyDescent="0.25">
      <c r="A348" s="206">
        <f t="shared" si="20"/>
        <v>348</v>
      </c>
      <c r="B348" s="207" t="str">
        <f t="shared" si="21"/>
        <v>KJ</v>
      </c>
    </row>
    <row r="349" spans="1:2" x14ac:dyDescent="0.25">
      <c r="A349" s="206">
        <f t="shared" si="20"/>
        <v>349</v>
      </c>
      <c r="B349" s="207" t="str">
        <f t="shared" si="21"/>
        <v>KK</v>
      </c>
    </row>
    <row r="350" spans="1:2" x14ac:dyDescent="0.25">
      <c r="A350" s="206">
        <f t="shared" si="20"/>
        <v>350</v>
      </c>
      <c r="B350" s="207" t="str">
        <f t="shared" si="21"/>
        <v>KL</v>
      </c>
    </row>
    <row r="351" spans="1:2" x14ac:dyDescent="0.25">
      <c r="A351" s="206">
        <f t="shared" si="20"/>
        <v>351</v>
      </c>
      <c r="B351" s="207" t="str">
        <f t="shared" si="21"/>
        <v>KM</v>
      </c>
    </row>
    <row r="352" spans="1:2" x14ac:dyDescent="0.25">
      <c r="A352" s="206">
        <f t="shared" si="20"/>
        <v>352</v>
      </c>
      <c r="B352" s="207" t="str">
        <f t="shared" si="21"/>
        <v>KN</v>
      </c>
    </row>
    <row r="353" spans="1:2" x14ac:dyDescent="0.25">
      <c r="A353" s="206">
        <f t="shared" si="20"/>
        <v>353</v>
      </c>
      <c r="B353" s="207" t="str">
        <f t="shared" si="21"/>
        <v>KO</v>
      </c>
    </row>
    <row r="354" spans="1:2" x14ac:dyDescent="0.25">
      <c r="A354" s="206">
        <f t="shared" si="20"/>
        <v>354</v>
      </c>
      <c r="B354" s="207" t="str">
        <f t="shared" si="21"/>
        <v>KP</v>
      </c>
    </row>
    <row r="355" spans="1:2" x14ac:dyDescent="0.25">
      <c r="A355" s="206">
        <f t="shared" si="20"/>
        <v>355</v>
      </c>
      <c r="B355" s="207" t="str">
        <f t="shared" si="21"/>
        <v>KQ</v>
      </c>
    </row>
    <row r="356" spans="1:2" x14ac:dyDescent="0.25">
      <c r="A356" s="206">
        <f t="shared" si="20"/>
        <v>356</v>
      </c>
      <c r="B356" s="207" t="str">
        <f t="shared" si="21"/>
        <v>KR</v>
      </c>
    </row>
    <row r="357" spans="1:2" x14ac:dyDescent="0.25">
      <c r="A357" s="206">
        <f t="shared" si="20"/>
        <v>357</v>
      </c>
      <c r="B357" s="207" t="str">
        <f t="shared" si="21"/>
        <v>KS</v>
      </c>
    </row>
    <row r="358" spans="1:2" x14ac:dyDescent="0.25">
      <c r="A358" s="206">
        <f t="shared" si="20"/>
        <v>358</v>
      </c>
      <c r="B358" s="207" t="str">
        <f t="shared" si="21"/>
        <v>KT</v>
      </c>
    </row>
    <row r="359" spans="1:2" x14ac:dyDescent="0.25">
      <c r="A359" s="206">
        <f t="shared" si="20"/>
        <v>359</v>
      </c>
      <c r="B359" s="207" t="str">
        <f t="shared" si="21"/>
        <v>KU</v>
      </c>
    </row>
    <row r="360" spans="1:2" x14ac:dyDescent="0.25">
      <c r="A360" s="206">
        <f t="shared" si="20"/>
        <v>360</v>
      </c>
      <c r="B360" s="207" t="str">
        <f t="shared" si="21"/>
        <v>KV</v>
      </c>
    </row>
    <row r="361" spans="1:2" x14ac:dyDescent="0.25">
      <c r="A361" s="206">
        <f t="shared" si="20"/>
        <v>361</v>
      </c>
      <c r="B361" s="207" t="str">
        <f t="shared" si="21"/>
        <v>KW</v>
      </c>
    </row>
    <row r="362" spans="1:2" x14ac:dyDescent="0.25">
      <c r="A362" s="206">
        <f t="shared" si="20"/>
        <v>362</v>
      </c>
      <c r="B362" s="207" t="str">
        <f t="shared" si="21"/>
        <v>KX</v>
      </c>
    </row>
    <row r="363" spans="1:2" x14ac:dyDescent="0.25">
      <c r="A363" s="206">
        <f t="shared" si="20"/>
        <v>363</v>
      </c>
      <c r="B363" s="207" t="str">
        <f t="shared" si="21"/>
        <v>KY</v>
      </c>
    </row>
    <row r="364" spans="1:2" x14ac:dyDescent="0.25">
      <c r="A364" s="206">
        <f t="shared" si="20"/>
        <v>364</v>
      </c>
      <c r="B364" s="207" t="str">
        <f t="shared" si="21"/>
        <v>KZ</v>
      </c>
    </row>
    <row r="365" spans="1:2" x14ac:dyDescent="0.25">
      <c r="B365" s="476"/>
    </row>
    <row r="366" spans="1:2" x14ac:dyDescent="0.25">
      <c r="B366" s="476"/>
    </row>
    <row r="367" spans="1:2" x14ac:dyDescent="0.25">
      <c r="B367" s="476"/>
    </row>
    <row r="368" spans="1:2" x14ac:dyDescent="0.25">
      <c r="B368" s="476"/>
    </row>
    <row r="369" spans="2:2" x14ac:dyDescent="0.25">
      <c r="B369" s="476"/>
    </row>
    <row r="370" spans="2:2" x14ac:dyDescent="0.25">
      <c r="B370" s="476"/>
    </row>
    <row r="371" spans="2:2" x14ac:dyDescent="0.25">
      <c r="B371" s="476"/>
    </row>
  </sheetData>
  <phoneticPr fontId="2" type="noConversion"/>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6"/>
  <dimension ref="A2:GR205"/>
  <sheetViews>
    <sheetView topLeftCell="I1" zoomScaleNormal="100" workbookViewId="0">
      <selection activeCell="D2" sqref="D2"/>
    </sheetView>
  </sheetViews>
  <sheetFormatPr baseColWidth="10" defaultColWidth="11.453125" defaultRowHeight="10" x14ac:dyDescent="0.2"/>
  <cols>
    <col min="1" max="1" width="21.453125" style="1" customWidth="1"/>
    <col min="2" max="2" width="26" style="1" bestFit="1" customWidth="1"/>
    <col min="3" max="3" width="26.453125" style="1" bestFit="1" customWidth="1"/>
    <col min="4" max="4" width="19.26953125" style="1" bestFit="1" customWidth="1"/>
    <col min="5" max="5" width="21" style="1" bestFit="1" customWidth="1"/>
    <col min="6" max="7" width="18.453125" style="1" bestFit="1" customWidth="1"/>
    <col min="8" max="9" width="20.26953125" style="1" bestFit="1" customWidth="1"/>
    <col min="10" max="10" width="21.54296875" style="1" bestFit="1" customWidth="1"/>
    <col min="11" max="11" width="22.1796875" style="1" bestFit="1" customWidth="1"/>
    <col min="12" max="12" width="19.453125" style="1" bestFit="1" customWidth="1"/>
    <col min="13" max="13" width="13.7265625" style="1" bestFit="1" customWidth="1"/>
    <col min="14" max="14" width="21.81640625" style="1" bestFit="1" customWidth="1"/>
    <col min="15" max="15" width="13.54296875" style="1" bestFit="1" customWidth="1"/>
    <col min="16" max="24" width="11.453125" style="1"/>
    <col min="25" max="25" width="14.81640625" style="1" bestFit="1" customWidth="1"/>
    <col min="26" max="26" width="13.54296875" style="1" bestFit="1" customWidth="1"/>
    <col min="27" max="16384" width="11.453125" style="1"/>
  </cols>
  <sheetData>
    <row r="2" spans="1:200" x14ac:dyDescent="0.2">
      <c r="C2" s="5" t="s">
        <v>245</v>
      </c>
      <c r="D2" s="63">
        <f>COUNTA(C6:GR6)</f>
        <v>24</v>
      </c>
      <c r="F2" s="5" t="s">
        <v>292</v>
      </c>
      <c r="G2" s="240" t="str">
        <f>"CT_APtoWLAN!B7:B"&amp;D3+6</f>
        <v>CT_APtoWLAN!B7:B18</v>
      </c>
    </row>
    <row r="3" spans="1:200" x14ac:dyDescent="0.2">
      <c r="C3" s="7" t="s">
        <v>250</v>
      </c>
      <c r="D3" s="69">
        <f>COUNTA(B7:B205)</f>
        <v>12</v>
      </c>
      <c r="F3" s="7" t="s">
        <v>293</v>
      </c>
      <c r="G3" s="69" t="str">
        <f>"CT_APtoWLAN!C6:"&amp;INDEX(CT_HELP!$B$1:$B$200,$D$2+2)&amp;"6"</f>
        <v>CT_APtoWLAN!C6:Z6</v>
      </c>
    </row>
    <row r="5" spans="1:200" s="12" customFormat="1" ht="10.5" x14ac:dyDescent="0.25">
      <c r="A5" s="239" t="str">
        <f>"CT_APtoWLAN!A7:A"&amp;D3+6</f>
        <v>CT_APtoWLAN!A7:A18</v>
      </c>
      <c r="D5" s="136"/>
      <c r="E5" s="199"/>
      <c r="F5" s="199"/>
    </row>
    <row r="6" spans="1:200" ht="10.5" x14ac:dyDescent="0.25">
      <c r="B6" s="675" t="s">
        <v>40</v>
      </c>
      <c r="C6" s="203" t="s">
        <v>107</v>
      </c>
      <c r="D6" s="200" t="s">
        <v>144</v>
      </c>
      <c r="E6" s="200" t="s">
        <v>101</v>
      </c>
      <c r="F6" s="200" t="s">
        <v>103</v>
      </c>
      <c r="G6" s="200" t="s">
        <v>106</v>
      </c>
      <c r="H6" s="200" t="s">
        <v>105</v>
      </c>
      <c r="I6" s="200" t="s">
        <v>102</v>
      </c>
      <c r="J6" s="200" t="s">
        <v>104</v>
      </c>
      <c r="K6" s="204" t="str">
        <f>LanguageTable!B7</f>
        <v>Standard module</v>
      </c>
      <c r="L6" s="201" t="s">
        <v>226</v>
      </c>
      <c r="M6" s="200" t="s">
        <v>408</v>
      </c>
      <c r="N6" s="200" t="s">
        <v>494</v>
      </c>
      <c r="O6" s="456" t="s">
        <v>496</v>
      </c>
      <c r="P6" s="201" t="s">
        <v>499</v>
      </c>
      <c r="Q6" s="201" t="s">
        <v>575</v>
      </c>
      <c r="R6" s="201" t="s">
        <v>576</v>
      </c>
      <c r="S6" s="201" t="s">
        <v>580</v>
      </c>
      <c r="T6" s="201" t="s">
        <v>608</v>
      </c>
      <c r="U6" s="201" t="s">
        <v>609</v>
      </c>
      <c r="V6" s="201" t="s">
        <v>610</v>
      </c>
      <c r="W6" s="201" t="s">
        <v>611</v>
      </c>
      <c r="X6" s="201" t="s">
        <v>665</v>
      </c>
      <c r="Y6" s="201" t="s">
        <v>684</v>
      </c>
      <c r="Z6" s="201" t="s">
        <v>686</v>
      </c>
      <c r="AA6" s="201"/>
      <c r="AB6" s="201"/>
      <c r="AC6" s="201"/>
      <c r="AD6" s="201"/>
      <c r="AE6" s="201"/>
      <c r="AF6" s="201"/>
      <c r="AG6" s="201"/>
      <c r="AH6" s="201"/>
      <c r="AI6" s="201"/>
      <c r="AJ6" s="201"/>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3"/>
    </row>
    <row r="7" spans="1:200" x14ac:dyDescent="0.2">
      <c r="A7" s="110" t="str">
        <f>"CT_APtoWLAN!$C$"&amp;CT_HELP!A7&amp;":"&amp;INDEX(CT_HELP!$B$1:$B$200,$D$2+2)&amp;""&amp;CT_HELP!A7</f>
        <v>CT_APtoWLAN!$C$7:Z7</v>
      </c>
      <c r="B7" s="98" t="s">
        <v>674</v>
      </c>
      <c r="C7" s="161" t="b">
        <v>0</v>
      </c>
      <c r="D7" s="161" t="b">
        <v>0</v>
      </c>
      <c r="E7" s="161" t="b">
        <v>0</v>
      </c>
      <c r="F7" s="161" t="b">
        <v>0</v>
      </c>
      <c r="G7" s="161" t="b">
        <v>0</v>
      </c>
      <c r="H7" s="161" t="b">
        <v>0</v>
      </c>
      <c r="I7" s="161" t="b">
        <v>0</v>
      </c>
      <c r="J7" s="161" t="b">
        <v>0</v>
      </c>
      <c r="K7" s="161" t="b">
        <v>0</v>
      </c>
      <c r="L7" s="161" t="b">
        <v>0</v>
      </c>
      <c r="M7" s="161" t="b">
        <v>0</v>
      </c>
      <c r="N7" s="161" t="b">
        <v>0</v>
      </c>
      <c r="O7" s="161" t="b">
        <v>0</v>
      </c>
      <c r="P7" s="161" t="b">
        <v>0</v>
      </c>
      <c r="Q7" s="161" t="b">
        <v>0</v>
      </c>
      <c r="R7" s="161" t="b">
        <v>0</v>
      </c>
      <c r="S7" s="161" t="b">
        <v>0</v>
      </c>
      <c r="T7" s="161" t="b">
        <v>0</v>
      </c>
      <c r="U7" s="161" t="b">
        <v>0</v>
      </c>
      <c r="V7" s="161" t="b">
        <v>0</v>
      </c>
      <c r="W7" s="161" t="b">
        <v>0</v>
      </c>
      <c r="X7" s="161" t="b">
        <v>0</v>
      </c>
      <c r="Y7" s="77" t="b">
        <v>1</v>
      </c>
      <c r="Z7" s="77" t="b">
        <v>1</v>
      </c>
      <c r="AA7" s="24"/>
      <c r="AB7" s="24"/>
      <c r="AC7" s="24"/>
      <c r="AD7" s="24"/>
      <c r="AE7" s="24"/>
      <c r="AF7" s="24"/>
      <c r="AG7" s="24"/>
      <c r="AH7" s="24"/>
      <c r="AI7" s="24"/>
      <c r="AJ7" s="24"/>
    </row>
    <row r="8" spans="1:200" x14ac:dyDescent="0.2">
      <c r="A8" s="110" t="str">
        <f>"CT_APtoWLAN!$C$"&amp;CT_HELP!A8&amp;":"&amp;INDEX(CT_HELP!$B$1:$B$200,$D$2+2)&amp;""&amp;CT_HELP!A8</f>
        <v>CT_APtoWLAN!$C$8:Z8</v>
      </c>
      <c r="B8" s="415" t="s">
        <v>678</v>
      </c>
      <c r="C8" s="161" t="b">
        <v>0</v>
      </c>
      <c r="D8" s="161" t="b">
        <v>0</v>
      </c>
      <c r="E8" s="161" t="b">
        <v>0</v>
      </c>
      <c r="F8" s="161" t="b">
        <v>0</v>
      </c>
      <c r="G8" s="161" t="b">
        <v>0</v>
      </c>
      <c r="H8" s="161" t="b">
        <v>0</v>
      </c>
      <c r="I8" s="161" t="b">
        <v>0</v>
      </c>
      <c r="J8" s="161" t="b">
        <v>0</v>
      </c>
      <c r="K8" s="161" t="b">
        <v>0</v>
      </c>
      <c r="L8" s="161" t="b">
        <v>0</v>
      </c>
      <c r="M8" s="161" t="b">
        <v>0</v>
      </c>
      <c r="N8" s="161" t="b">
        <v>0</v>
      </c>
      <c r="O8" s="161" t="b">
        <v>0</v>
      </c>
      <c r="P8" s="161" t="b">
        <v>0</v>
      </c>
      <c r="Q8" s="161" t="b">
        <v>0</v>
      </c>
      <c r="R8" s="161" t="b">
        <v>0</v>
      </c>
      <c r="S8" s="161" t="b">
        <v>0</v>
      </c>
      <c r="T8" s="161" t="b">
        <v>0</v>
      </c>
      <c r="U8" s="161" t="b">
        <v>0</v>
      </c>
      <c r="V8" s="161" t="b">
        <v>0</v>
      </c>
      <c r="W8" s="161" t="b">
        <v>0</v>
      </c>
      <c r="X8" s="161" t="b">
        <v>0</v>
      </c>
      <c r="Y8" s="77" t="b">
        <v>1</v>
      </c>
      <c r="Z8" s="77" t="b">
        <v>1</v>
      </c>
      <c r="AA8" s="24"/>
      <c r="AB8" s="24"/>
      <c r="AC8" s="24"/>
      <c r="AD8" s="24"/>
      <c r="AE8" s="24"/>
      <c r="AF8" s="24"/>
      <c r="AG8" s="24"/>
      <c r="AH8" s="24"/>
      <c r="AI8" s="24"/>
      <c r="AJ8" s="24"/>
    </row>
    <row r="9" spans="1:200" x14ac:dyDescent="0.2">
      <c r="A9" s="110" t="str">
        <f>"CT_APtoWLAN!$C$"&amp;CT_HELP!A9&amp;":"&amp;INDEX(CT_HELP!$B$1:$B$200,$D$2+2)&amp;""&amp;CT_HELP!A9</f>
        <v>CT_APtoWLAN!$C$9:Z9</v>
      </c>
      <c r="B9" s="415" t="s">
        <v>502</v>
      </c>
      <c r="C9" s="161" t="b">
        <v>0</v>
      </c>
      <c r="D9" s="161" t="b">
        <v>0</v>
      </c>
      <c r="E9" s="161" t="b">
        <v>0</v>
      </c>
      <c r="F9" s="161" t="b">
        <v>0</v>
      </c>
      <c r="G9" s="161" t="b">
        <v>0</v>
      </c>
      <c r="H9" s="161" t="b">
        <v>0</v>
      </c>
      <c r="I9" s="161" t="b">
        <v>0</v>
      </c>
      <c r="J9" s="161" t="b">
        <v>0</v>
      </c>
      <c r="K9" s="161" t="b">
        <v>0</v>
      </c>
      <c r="L9" s="161" t="b">
        <v>0</v>
      </c>
      <c r="M9" s="161" t="b">
        <v>0</v>
      </c>
      <c r="N9" s="161" t="b">
        <v>0</v>
      </c>
      <c r="O9" s="161" t="b">
        <v>0</v>
      </c>
      <c r="P9" s="161" t="b">
        <v>0</v>
      </c>
      <c r="Q9" s="161" t="b">
        <v>0</v>
      </c>
      <c r="R9" s="77" t="b">
        <v>1</v>
      </c>
      <c r="S9" s="161" t="b">
        <v>0</v>
      </c>
      <c r="T9" s="161" t="b">
        <v>0</v>
      </c>
      <c r="U9" s="161" t="b">
        <v>0</v>
      </c>
      <c r="V9" s="161" t="b">
        <v>0</v>
      </c>
      <c r="W9" s="161" t="b">
        <v>0</v>
      </c>
      <c r="X9" s="161" t="b">
        <v>0</v>
      </c>
      <c r="Y9" s="161" t="b">
        <v>0</v>
      </c>
      <c r="Z9" s="161" t="b">
        <v>0</v>
      </c>
      <c r="AA9" s="24"/>
      <c r="AB9" s="24"/>
      <c r="AC9" s="24"/>
      <c r="AD9" s="24"/>
      <c r="AE9" s="24"/>
      <c r="AF9" s="24"/>
      <c r="AG9" s="24"/>
      <c r="AH9" s="24"/>
      <c r="AI9" s="24"/>
      <c r="AJ9" s="24"/>
    </row>
    <row r="10" spans="1:200" x14ac:dyDescent="0.2">
      <c r="A10" s="110" t="str">
        <f>"CT_APtoWLAN!$C$"&amp;CT_HELP!A10&amp;":"&amp;INDEX(CT_HELP!$B$1:$B$200,$D$2+2)&amp;""&amp;CT_HELP!A10</f>
        <v>CT_APtoWLAN!$C$10:Z10</v>
      </c>
      <c r="B10" s="415" t="s">
        <v>501</v>
      </c>
      <c r="C10" s="161" t="b">
        <v>0</v>
      </c>
      <c r="D10" s="161" t="b">
        <v>0</v>
      </c>
      <c r="E10" s="161" t="b">
        <v>0</v>
      </c>
      <c r="F10" s="161" t="b">
        <v>0</v>
      </c>
      <c r="G10" s="161" t="b">
        <v>0</v>
      </c>
      <c r="H10" s="161" t="b">
        <v>0</v>
      </c>
      <c r="I10" s="161" t="b">
        <v>0</v>
      </c>
      <c r="J10" s="161" t="b">
        <v>0</v>
      </c>
      <c r="K10" s="161" t="b">
        <v>0</v>
      </c>
      <c r="L10" s="161" t="b">
        <v>0</v>
      </c>
      <c r="M10" s="161" t="b">
        <v>0</v>
      </c>
      <c r="N10" s="161" t="b">
        <v>0</v>
      </c>
      <c r="O10" s="161" t="b">
        <v>0</v>
      </c>
      <c r="P10" s="161" t="b">
        <v>0</v>
      </c>
      <c r="Q10" s="161" t="b">
        <v>0</v>
      </c>
      <c r="R10" s="77" t="b">
        <v>1</v>
      </c>
      <c r="S10" s="161" t="b">
        <v>0</v>
      </c>
      <c r="T10" s="161" t="b">
        <v>0</v>
      </c>
      <c r="U10" s="161" t="b">
        <v>0</v>
      </c>
      <c r="V10" s="161" t="b">
        <v>0</v>
      </c>
      <c r="W10" s="161" t="b">
        <v>0</v>
      </c>
      <c r="X10" s="77" t="b">
        <v>1</v>
      </c>
      <c r="Y10" s="161" t="b">
        <v>0</v>
      </c>
      <c r="Z10" s="161" t="b">
        <v>0</v>
      </c>
      <c r="AA10" s="24"/>
      <c r="AB10" s="24"/>
      <c r="AC10" s="24"/>
      <c r="AD10" s="24"/>
      <c r="AE10" s="24"/>
      <c r="AF10" s="24"/>
      <c r="AG10" s="24"/>
      <c r="AH10" s="24"/>
      <c r="AI10" s="24"/>
      <c r="AJ10" s="24"/>
    </row>
    <row r="11" spans="1:200" x14ac:dyDescent="0.2">
      <c r="A11" s="110" t="str">
        <f>"CT_APtoWLAN!$C$"&amp;CT_HELP!A11&amp;":"&amp;INDEX(CT_HELP!$B$1:$B$200,$D$2+2)&amp;""&amp;CT_HELP!A11</f>
        <v>CT_APtoWLAN!$C$11:Z11</v>
      </c>
      <c r="B11" s="415" t="s">
        <v>503</v>
      </c>
      <c r="C11" s="161" t="b">
        <v>0</v>
      </c>
      <c r="D11" s="161" t="b">
        <v>0</v>
      </c>
      <c r="E11" s="161" t="b">
        <v>0</v>
      </c>
      <c r="F11" s="161" t="b">
        <v>0</v>
      </c>
      <c r="G11" s="161" t="b">
        <v>0</v>
      </c>
      <c r="H11" s="161" t="b">
        <v>0</v>
      </c>
      <c r="I11" s="161" t="b">
        <v>0</v>
      </c>
      <c r="J11" s="161" t="b">
        <v>0</v>
      </c>
      <c r="K11" s="161" t="b">
        <v>0</v>
      </c>
      <c r="L11" s="161" t="b">
        <v>0</v>
      </c>
      <c r="M11" s="161" t="b">
        <v>0</v>
      </c>
      <c r="N11" s="161" t="b">
        <v>0</v>
      </c>
      <c r="O11" s="161" t="b">
        <v>0</v>
      </c>
      <c r="P11" s="161" t="b">
        <v>0</v>
      </c>
      <c r="Q11" s="161" t="b">
        <v>0</v>
      </c>
      <c r="R11" s="77" t="b">
        <v>1</v>
      </c>
      <c r="S11" s="161" t="b">
        <v>0</v>
      </c>
      <c r="T11" s="161" t="b">
        <v>0</v>
      </c>
      <c r="U11" s="161" t="b">
        <v>0</v>
      </c>
      <c r="V11" s="161" t="b">
        <v>0</v>
      </c>
      <c r="W11" s="161" t="b">
        <v>0</v>
      </c>
      <c r="X11" s="161" t="b">
        <v>0</v>
      </c>
      <c r="Y11" s="161" t="b">
        <v>0</v>
      </c>
      <c r="Z11" s="161" t="b">
        <v>0</v>
      </c>
      <c r="AA11" s="24"/>
      <c r="AB11" s="24"/>
      <c r="AC11" s="24"/>
      <c r="AD11" s="24"/>
      <c r="AE11" s="24"/>
      <c r="AF11" s="24"/>
      <c r="AG11" s="24"/>
      <c r="AH11" s="24"/>
      <c r="AI11" s="24"/>
      <c r="AJ11" s="24"/>
    </row>
    <row r="12" spans="1:200" x14ac:dyDescent="0.2">
      <c r="A12" s="110" t="str">
        <f>"CT_APtoWLAN!$C$"&amp;CT_HELP!A12&amp;":"&amp;INDEX(CT_HELP!$B$1:$B$200,$D$2+2)&amp;""&amp;CT_HELP!A12</f>
        <v>CT_APtoWLAN!$C$12:Z12</v>
      </c>
      <c r="B12" s="97" t="s">
        <v>677</v>
      </c>
      <c r="C12" s="161" t="b">
        <v>0</v>
      </c>
      <c r="D12" s="161" t="b">
        <v>0</v>
      </c>
      <c r="E12" s="161" t="b">
        <v>0</v>
      </c>
      <c r="F12" s="161" t="b">
        <v>0</v>
      </c>
      <c r="G12" s="161" t="b">
        <v>0</v>
      </c>
      <c r="H12" s="161" t="b">
        <v>0</v>
      </c>
      <c r="I12" s="161" t="b">
        <v>0</v>
      </c>
      <c r="J12" s="161" t="b">
        <v>0</v>
      </c>
      <c r="K12" s="161" t="b">
        <v>0</v>
      </c>
      <c r="L12" s="161" t="b">
        <v>0</v>
      </c>
      <c r="M12" s="161" t="b">
        <v>0</v>
      </c>
      <c r="N12" s="161" t="b">
        <v>0</v>
      </c>
      <c r="O12" s="77" t="b">
        <v>1</v>
      </c>
      <c r="P12" s="161" t="b">
        <v>0</v>
      </c>
      <c r="Q12" s="161" t="b">
        <v>0</v>
      </c>
      <c r="R12" s="161" t="b">
        <v>0</v>
      </c>
      <c r="S12" s="161" t="b">
        <v>0</v>
      </c>
      <c r="T12" s="161" t="b">
        <v>0</v>
      </c>
      <c r="U12" s="77" t="b">
        <v>1</v>
      </c>
      <c r="V12" s="161" t="b">
        <v>0</v>
      </c>
      <c r="W12" s="161" t="b">
        <v>0</v>
      </c>
      <c r="X12" s="161" t="b">
        <v>0</v>
      </c>
      <c r="Y12" s="161" t="b">
        <v>0</v>
      </c>
      <c r="Z12" s="161" t="b">
        <v>0</v>
      </c>
      <c r="AA12" s="24"/>
      <c r="AB12" s="24"/>
      <c r="AC12" s="24"/>
      <c r="AD12" s="24"/>
      <c r="AE12" s="24"/>
      <c r="AF12" s="24"/>
      <c r="AG12" s="24"/>
      <c r="AH12" s="24"/>
      <c r="AI12" s="24"/>
      <c r="AJ12" s="24"/>
    </row>
    <row r="13" spans="1:200" x14ac:dyDescent="0.2">
      <c r="A13" s="110" t="str">
        <f>"CT_APtoWLAN!$C$"&amp;CT_HELP!A13&amp;":"&amp;INDEX(CT_HELP!$B$1:$B$200,$D$2+2)&amp;""&amp;CT_HELP!A13</f>
        <v>CT_APtoWLAN!$C$13:Z13</v>
      </c>
      <c r="B13" s="415" t="s">
        <v>505</v>
      </c>
      <c r="C13" s="161" t="b">
        <v>0</v>
      </c>
      <c r="D13" s="161" t="b">
        <v>0</v>
      </c>
      <c r="E13" s="161" t="b">
        <v>0</v>
      </c>
      <c r="F13" s="161" t="b">
        <v>0</v>
      </c>
      <c r="G13" s="161" t="b">
        <v>0</v>
      </c>
      <c r="H13" s="161" t="b">
        <v>0</v>
      </c>
      <c r="I13" s="161" t="b">
        <v>0</v>
      </c>
      <c r="J13" s="161" t="b">
        <v>0</v>
      </c>
      <c r="K13" s="161" t="b">
        <v>0</v>
      </c>
      <c r="L13" s="161" t="b">
        <v>0</v>
      </c>
      <c r="M13" s="161" t="b">
        <v>0</v>
      </c>
      <c r="N13" s="161" t="b">
        <v>0</v>
      </c>
      <c r="O13" s="161" t="b">
        <v>0</v>
      </c>
      <c r="P13" s="77" t="b">
        <v>1</v>
      </c>
      <c r="Q13" s="77" t="b">
        <v>1</v>
      </c>
      <c r="R13" s="161" t="b">
        <v>0</v>
      </c>
      <c r="S13" s="161" t="b">
        <v>0</v>
      </c>
      <c r="T13" s="161" t="b">
        <v>0</v>
      </c>
      <c r="U13" s="161" t="b">
        <v>0</v>
      </c>
      <c r="V13" s="161" t="b">
        <v>0</v>
      </c>
      <c r="W13" s="161" t="b">
        <v>0</v>
      </c>
      <c r="X13" s="161" t="b">
        <v>0</v>
      </c>
      <c r="Y13" s="161" t="b">
        <v>0</v>
      </c>
      <c r="Z13" s="161" t="b">
        <v>0</v>
      </c>
      <c r="AA13" s="24"/>
      <c r="AB13" s="24"/>
      <c r="AC13" s="24"/>
      <c r="AD13" s="24"/>
      <c r="AE13" s="24"/>
      <c r="AF13" s="24"/>
      <c r="AG13" s="24"/>
      <c r="AH13" s="24"/>
      <c r="AI13" s="24"/>
      <c r="AJ13" s="24"/>
    </row>
    <row r="14" spans="1:200" x14ac:dyDescent="0.2">
      <c r="A14" s="110" t="str">
        <f>"CT_APtoWLAN!$C$"&amp;CT_HELP!A14&amp;":"&amp;INDEX(CT_HELP!$B$1:$B$200,$D$2+2)&amp;""&amp;CT_HELP!A14</f>
        <v>CT_APtoWLAN!$C$14:Z14</v>
      </c>
      <c r="B14" s="97" t="s">
        <v>605</v>
      </c>
      <c r="C14" s="161" t="b">
        <v>0</v>
      </c>
      <c r="D14" s="161" t="b">
        <v>0</v>
      </c>
      <c r="E14" s="161" t="b">
        <v>0</v>
      </c>
      <c r="F14" s="161" t="b">
        <v>0</v>
      </c>
      <c r="G14" s="161" t="b">
        <v>0</v>
      </c>
      <c r="H14" s="161" t="b">
        <v>0</v>
      </c>
      <c r="I14" s="161" t="b">
        <v>0</v>
      </c>
      <c r="J14" s="161" t="b">
        <v>0</v>
      </c>
      <c r="K14" s="161" t="b">
        <v>0</v>
      </c>
      <c r="L14" s="161" t="b">
        <v>0</v>
      </c>
      <c r="M14" s="161" t="b">
        <v>0</v>
      </c>
      <c r="N14" s="161" t="b">
        <v>0</v>
      </c>
      <c r="O14" s="161" t="b">
        <v>0</v>
      </c>
      <c r="P14" s="77" t="b">
        <v>1</v>
      </c>
      <c r="Q14" s="161" t="b">
        <v>0</v>
      </c>
      <c r="R14" s="161" t="b">
        <v>0</v>
      </c>
      <c r="S14" s="161" t="b">
        <v>0</v>
      </c>
      <c r="T14" s="161" t="b">
        <v>0</v>
      </c>
      <c r="U14" s="161" t="b">
        <v>0</v>
      </c>
      <c r="V14" s="77" t="b">
        <v>1</v>
      </c>
      <c r="W14" s="161" t="b">
        <v>0</v>
      </c>
      <c r="X14" s="161" t="b">
        <v>0</v>
      </c>
      <c r="Y14" s="161" t="b">
        <v>0</v>
      </c>
      <c r="Z14" s="161" t="b">
        <v>0</v>
      </c>
      <c r="AA14" s="24"/>
      <c r="AB14" s="24"/>
      <c r="AC14" s="24"/>
      <c r="AD14" s="24"/>
      <c r="AE14" s="24"/>
      <c r="AF14" s="24"/>
      <c r="AG14" s="24"/>
      <c r="AH14" s="24"/>
      <c r="AI14" s="24"/>
      <c r="AJ14" s="24"/>
    </row>
    <row r="15" spans="1:200" x14ac:dyDescent="0.2">
      <c r="A15" s="110" t="str">
        <f>"CT_APtoWLAN!$C$"&amp;CT_HELP!A15&amp;":"&amp;INDEX(CT_HELP!$B$1:$B$200,$D$2+2)&amp;""&amp;CT_HELP!A15</f>
        <v>CT_APtoWLAN!$C$15:Z15</v>
      </c>
      <c r="B15" s="195" t="s">
        <v>406</v>
      </c>
      <c r="C15" s="161" t="b">
        <v>0</v>
      </c>
      <c r="D15" s="161" t="b">
        <v>0</v>
      </c>
      <c r="E15" s="161" t="b">
        <v>0</v>
      </c>
      <c r="F15" s="161" t="b">
        <v>0</v>
      </c>
      <c r="G15" s="161" t="b">
        <v>0</v>
      </c>
      <c r="H15" s="161" t="b">
        <v>0</v>
      </c>
      <c r="I15" s="161" t="b">
        <v>0</v>
      </c>
      <c r="J15" s="161" t="b">
        <v>0</v>
      </c>
      <c r="K15" s="161" t="b">
        <v>0</v>
      </c>
      <c r="L15" s="161" t="b">
        <v>0</v>
      </c>
      <c r="M15" s="77" t="b">
        <v>1</v>
      </c>
      <c r="N15" s="161" t="b">
        <v>0</v>
      </c>
      <c r="O15" s="161" t="b">
        <v>0</v>
      </c>
      <c r="P15" s="77" t="b">
        <v>1</v>
      </c>
      <c r="Q15" s="161" t="b">
        <v>0</v>
      </c>
      <c r="R15" s="161" t="b">
        <v>0</v>
      </c>
      <c r="S15" s="161" t="b">
        <v>0</v>
      </c>
      <c r="T15" s="161" t="b">
        <v>0</v>
      </c>
      <c r="U15" s="161" t="b">
        <v>0</v>
      </c>
      <c r="V15" s="161" t="b">
        <v>0</v>
      </c>
      <c r="W15" s="161" t="b">
        <v>0</v>
      </c>
      <c r="X15" s="161" t="b">
        <v>0</v>
      </c>
      <c r="Y15" s="161" t="b">
        <v>0</v>
      </c>
      <c r="Z15" s="161" t="b">
        <v>0</v>
      </c>
      <c r="AA15" s="24"/>
      <c r="AB15" s="24"/>
      <c r="AC15" s="24"/>
      <c r="AD15" s="24"/>
      <c r="AE15" s="24"/>
      <c r="AF15" s="24"/>
      <c r="AG15" s="24"/>
      <c r="AH15" s="24"/>
      <c r="AI15" s="24"/>
    </row>
    <row r="16" spans="1:200" x14ac:dyDescent="0.2">
      <c r="A16" s="110" t="str">
        <f>"CT_APtoWLAN!$C$"&amp;CT_HELP!A16&amp;":"&amp;INDEX(CT_HELP!$B$1:$B$200,$D$2+2)&amp;""&amp;CT_HELP!A16</f>
        <v>CT_APtoWLAN!$C$16:Z16</v>
      </c>
      <c r="B16" s="195" t="s">
        <v>405</v>
      </c>
      <c r="C16" s="161" t="b">
        <v>0</v>
      </c>
      <c r="D16" s="161" t="b">
        <v>0</v>
      </c>
      <c r="E16" s="161" t="b">
        <v>0</v>
      </c>
      <c r="F16" s="161" t="b">
        <v>0</v>
      </c>
      <c r="G16" s="161" t="b">
        <v>0</v>
      </c>
      <c r="H16" s="161" t="b">
        <v>0</v>
      </c>
      <c r="I16" s="161" t="b">
        <v>0</v>
      </c>
      <c r="J16" s="161" t="b">
        <v>0</v>
      </c>
      <c r="K16" s="161" t="b">
        <v>0</v>
      </c>
      <c r="L16" s="161" t="b">
        <v>0</v>
      </c>
      <c r="M16" s="77" t="b">
        <v>1</v>
      </c>
      <c r="N16" s="161" t="b">
        <v>0</v>
      </c>
      <c r="O16" s="161" t="b">
        <v>0</v>
      </c>
      <c r="P16" s="77" t="b">
        <v>1</v>
      </c>
      <c r="Q16" s="161" t="b">
        <v>0</v>
      </c>
      <c r="R16" s="161" t="b">
        <v>0</v>
      </c>
      <c r="S16" s="161" t="b">
        <v>0</v>
      </c>
      <c r="T16" s="161" t="b">
        <v>0</v>
      </c>
      <c r="U16" s="161" t="b">
        <v>0</v>
      </c>
      <c r="V16" s="161" t="b">
        <v>0</v>
      </c>
      <c r="W16" s="161" t="b">
        <v>0</v>
      </c>
      <c r="X16" s="161" t="b">
        <v>0</v>
      </c>
      <c r="Y16" s="161" t="b">
        <v>0</v>
      </c>
      <c r="Z16" s="161" t="b">
        <v>0</v>
      </c>
      <c r="AA16" s="24"/>
      <c r="AB16" s="24"/>
      <c r="AC16" s="24"/>
      <c r="AD16" s="24"/>
      <c r="AE16" s="24"/>
      <c r="AF16" s="24"/>
      <c r="AG16" s="24"/>
      <c r="AH16" s="24"/>
      <c r="AI16" s="24"/>
    </row>
    <row r="17" spans="1:36" x14ac:dyDescent="0.2">
      <c r="A17" s="110" t="str">
        <f>"CT_APtoWLAN!$C$"&amp;CT_HELP!A17&amp;":"&amp;INDEX(CT_HELP!$B$1:$B$200,$D$2+2)&amp;""&amp;CT_HELP!A17</f>
        <v>CT_APtoWLAN!$C$17:Z17</v>
      </c>
      <c r="B17" s="97" t="s">
        <v>607</v>
      </c>
      <c r="C17" s="161" t="b">
        <v>0</v>
      </c>
      <c r="D17" s="161" t="b">
        <v>0</v>
      </c>
      <c r="E17" s="161" t="b">
        <v>0</v>
      </c>
      <c r="F17" s="161" t="b">
        <v>0</v>
      </c>
      <c r="G17" s="161" t="b">
        <v>0</v>
      </c>
      <c r="H17" s="161" t="b">
        <v>0</v>
      </c>
      <c r="I17" s="161" t="b">
        <v>0</v>
      </c>
      <c r="J17" s="161" t="b">
        <v>0</v>
      </c>
      <c r="K17" s="161" t="b">
        <v>0</v>
      </c>
      <c r="L17" s="161" t="b">
        <v>0</v>
      </c>
      <c r="M17" s="161" t="b">
        <v>0</v>
      </c>
      <c r="N17" s="161" t="b">
        <v>0</v>
      </c>
      <c r="O17" s="161" t="b">
        <v>0</v>
      </c>
      <c r="P17" s="161" t="b">
        <v>0</v>
      </c>
      <c r="Q17" s="161" t="b">
        <v>0</v>
      </c>
      <c r="R17" s="77" t="b">
        <v>1</v>
      </c>
      <c r="S17" s="161" t="b">
        <v>0</v>
      </c>
      <c r="T17" s="161" t="b">
        <v>0</v>
      </c>
      <c r="U17" s="161" t="b">
        <v>0</v>
      </c>
      <c r="V17" s="161" t="b">
        <v>0</v>
      </c>
      <c r="W17" s="161" t="b">
        <v>0</v>
      </c>
      <c r="X17" s="161" t="b">
        <v>0</v>
      </c>
      <c r="Y17" s="161" t="b">
        <v>0</v>
      </c>
      <c r="Z17" s="161" t="b">
        <v>0</v>
      </c>
      <c r="AA17" s="24"/>
      <c r="AB17" s="24"/>
      <c r="AC17" s="24"/>
      <c r="AD17" s="24"/>
      <c r="AE17" s="24"/>
      <c r="AF17" s="24"/>
      <c r="AG17" s="24"/>
      <c r="AH17" s="24"/>
      <c r="AI17" s="24"/>
    </row>
    <row r="18" spans="1:36" x14ac:dyDescent="0.2">
      <c r="A18" s="110" t="str">
        <f>"CT_APtoWLAN!$C$"&amp;CT_HELP!A18&amp;":"&amp;INDEX(CT_HELP!$B$1:$B$200,$D$2+2)&amp;""&amp;CT_HELP!A18</f>
        <v>CT_APtoWLAN!$C$18:Z18</v>
      </c>
      <c r="B18" s="97" t="s">
        <v>606</v>
      </c>
      <c r="C18" s="161" t="b">
        <v>0</v>
      </c>
      <c r="D18" s="161" t="b">
        <v>0</v>
      </c>
      <c r="E18" s="161" t="b">
        <v>0</v>
      </c>
      <c r="F18" s="161" t="b">
        <v>0</v>
      </c>
      <c r="G18" s="161" t="b">
        <v>0</v>
      </c>
      <c r="H18" s="161" t="b">
        <v>0</v>
      </c>
      <c r="I18" s="161" t="b">
        <v>0</v>
      </c>
      <c r="J18" s="161" t="b">
        <v>0</v>
      </c>
      <c r="K18" s="161" t="b">
        <v>0</v>
      </c>
      <c r="L18" s="161" t="b">
        <v>0</v>
      </c>
      <c r="M18" s="161" t="b">
        <v>0</v>
      </c>
      <c r="N18" s="161" t="b">
        <v>0</v>
      </c>
      <c r="O18" s="161" t="b">
        <v>0</v>
      </c>
      <c r="P18" s="161" t="b">
        <v>0</v>
      </c>
      <c r="Q18" s="161" t="b">
        <v>0</v>
      </c>
      <c r="R18" s="77" t="b">
        <v>1</v>
      </c>
      <c r="S18" s="161" t="b">
        <v>0</v>
      </c>
      <c r="T18" s="161" t="b">
        <v>0</v>
      </c>
      <c r="U18" s="161" t="b">
        <v>0</v>
      </c>
      <c r="V18" s="161" t="b">
        <v>0</v>
      </c>
      <c r="W18" s="161" t="b">
        <v>0</v>
      </c>
      <c r="X18" s="161" t="b">
        <v>0</v>
      </c>
      <c r="Y18" s="161" t="b">
        <v>0</v>
      </c>
      <c r="Z18" s="161" t="b">
        <v>0</v>
      </c>
      <c r="AA18" s="24"/>
      <c r="AB18" s="24"/>
      <c r="AC18" s="24"/>
      <c r="AD18" s="24"/>
      <c r="AE18" s="24"/>
      <c r="AF18" s="24"/>
      <c r="AG18" s="24"/>
      <c r="AH18" s="24"/>
      <c r="AI18" s="24"/>
      <c r="AJ18" s="24"/>
    </row>
    <row r="19" spans="1:36" x14ac:dyDescent="0.2">
      <c r="A19" s="110"/>
      <c r="B19" s="97"/>
      <c r="C19" s="77"/>
      <c r="D19" s="161"/>
      <c r="E19" s="161"/>
      <c r="F19" s="161"/>
      <c r="G19" s="161"/>
      <c r="H19" s="161"/>
      <c r="I19" s="161"/>
      <c r="J19" s="161"/>
      <c r="K19" s="161"/>
      <c r="L19" s="161"/>
      <c r="M19" s="161"/>
      <c r="N19" s="161"/>
      <c r="O19" s="161"/>
      <c r="P19" s="161"/>
      <c r="Q19" s="161"/>
      <c r="R19" s="161"/>
      <c r="S19" s="161"/>
      <c r="T19" s="161"/>
      <c r="U19" s="161"/>
      <c r="V19" s="161"/>
      <c r="W19" s="161"/>
      <c r="X19" s="161"/>
      <c r="Y19" s="24"/>
      <c r="Z19" s="24"/>
      <c r="AA19" s="24"/>
      <c r="AB19" s="24"/>
      <c r="AC19" s="24"/>
      <c r="AD19" s="24"/>
      <c r="AE19" s="24"/>
      <c r="AF19" s="24"/>
      <c r="AG19" s="24"/>
      <c r="AH19" s="24"/>
      <c r="AI19" s="24"/>
      <c r="AJ19" s="24"/>
    </row>
    <row r="20" spans="1:36" x14ac:dyDescent="0.2">
      <c r="A20" s="110"/>
      <c r="B20" s="97"/>
      <c r="C20" s="161"/>
      <c r="D20" s="161"/>
      <c r="E20" s="77"/>
      <c r="F20" s="77"/>
      <c r="G20" s="161"/>
      <c r="H20" s="161"/>
      <c r="I20" s="161"/>
      <c r="J20" s="77"/>
      <c r="K20" s="161"/>
      <c r="L20" s="161"/>
      <c r="M20" s="161"/>
      <c r="N20" s="161"/>
      <c r="O20" s="161"/>
      <c r="P20" s="161"/>
      <c r="Q20" s="161"/>
      <c r="R20" s="161"/>
      <c r="S20" s="161"/>
      <c r="T20" s="161"/>
      <c r="U20" s="161"/>
      <c r="V20" s="161"/>
      <c r="W20" s="161"/>
      <c r="X20" s="161"/>
      <c r="Y20" s="24"/>
      <c r="Z20" s="24"/>
      <c r="AA20" s="24"/>
      <c r="AB20" s="24"/>
      <c r="AC20" s="24"/>
      <c r="AD20" s="24"/>
      <c r="AE20" s="24"/>
      <c r="AF20" s="24"/>
      <c r="AG20" s="24"/>
      <c r="AH20" s="24"/>
      <c r="AI20" s="24"/>
      <c r="AJ20" s="24"/>
    </row>
    <row r="21" spans="1:36" x14ac:dyDescent="0.2">
      <c r="A21" s="110"/>
      <c r="B21" s="97"/>
      <c r="C21" s="161"/>
      <c r="D21" s="161"/>
      <c r="E21" s="77"/>
      <c r="F21" s="77"/>
      <c r="G21" s="161"/>
      <c r="H21" s="161"/>
      <c r="I21" s="161"/>
      <c r="J21" s="77"/>
      <c r="K21" s="161"/>
      <c r="L21" s="161"/>
      <c r="M21" s="161"/>
      <c r="N21" s="161"/>
      <c r="O21" s="161"/>
      <c r="P21" s="161"/>
      <c r="Q21" s="161"/>
      <c r="R21" s="161"/>
      <c r="S21" s="161"/>
      <c r="T21" s="161"/>
      <c r="U21" s="161"/>
      <c r="V21" s="161"/>
      <c r="W21" s="161"/>
      <c r="X21" s="161"/>
      <c r="Y21" s="24"/>
      <c r="Z21" s="24"/>
      <c r="AA21" s="24"/>
      <c r="AB21" s="24"/>
      <c r="AC21" s="24"/>
      <c r="AD21" s="24"/>
      <c r="AE21" s="24"/>
      <c r="AF21" s="24"/>
      <c r="AG21" s="24"/>
      <c r="AH21" s="24"/>
      <c r="AI21" s="24"/>
      <c r="AJ21" s="24"/>
    </row>
    <row r="22" spans="1:36" x14ac:dyDescent="0.2">
      <c r="A22" s="110"/>
      <c r="B22" s="97"/>
      <c r="C22" s="161"/>
      <c r="D22" s="161"/>
      <c r="E22" s="77"/>
      <c r="F22" s="161"/>
      <c r="G22" s="161"/>
      <c r="H22" s="161"/>
      <c r="I22" s="161"/>
      <c r="J22" s="161"/>
      <c r="K22" s="161"/>
      <c r="L22" s="161"/>
      <c r="M22" s="161"/>
      <c r="N22" s="161"/>
      <c r="O22" s="161"/>
      <c r="P22" s="161"/>
      <c r="Q22" s="161"/>
      <c r="R22" s="161"/>
      <c r="S22" s="161"/>
      <c r="T22" s="161"/>
      <c r="U22" s="161"/>
      <c r="V22" s="161"/>
      <c r="W22" s="161"/>
      <c r="X22" s="161"/>
      <c r="Y22" s="24"/>
      <c r="Z22" s="24"/>
      <c r="AA22" s="24"/>
      <c r="AB22" s="24"/>
      <c r="AC22" s="24"/>
      <c r="AD22" s="24"/>
      <c r="AE22" s="24"/>
      <c r="AF22" s="24"/>
      <c r="AG22" s="24"/>
      <c r="AH22" s="24"/>
      <c r="AI22" s="24"/>
      <c r="AJ22" s="24"/>
    </row>
    <row r="23" spans="1:36" x14ac:dyDescent="0.2">
      <c r="A23" s="110"/>
      <c r="B23" s="97"/>
      <c r="C23" s="161"/>
      <c r="D23" s="161"/>
      <c r="E23" s="161"/>
      <c r="F23" s="161"/>
      <c r="G23" s="161"/>
      <c r="H23" s="161"/>
      <c r="I23" s="161"/>
      <c r="J23" s="161"/>
      <c r="K23" s="198"/>
      <c r="L23" s="77"/>
      <c r="M23" s="161"/>
      <c r="N23" s="161"/>
      <c r="O23" s="161"/>
      <c r="P23" s="161"/>
      <c r="Q23" s="161"/>
      <c r="R23" s="161"/>
      <c r="S23" s="161"/>
      <c r="T23" s="161"/>
      <c r="U23" s="161"/>
      <c r="V23" s="161"/>
      <c r="W23" s="161"/>
      <c r="X23" s="161"/>
      <c r="Y23" s="24"/>
      <c r="Z23" s="24"/>
      <c r="AA23" s="24"/>
      <c r="AB23" s="24"/>
      <c r="AC23" s="24"/>
      <c r="AD23" s="24"/>
      <c r="AE23" s="24"/>
      <c r="AF23" s="24"/>
      <c r="AG23" s="24"/>
      <c r="AH23" s="24"/>
      <c r="AI23" s="24"/>
      <c r="AJ23" s="24"/>
    </row>
    <row r="24" spans="1:36" x14ac:dyDescent="0.2">
      <c r="A24" s="110"/>
      <c r="B24" s="97"/>
      <c r="C24" s="161"/>
      <c r="D24" s="161"/>
      <c r="E24" s="161"/>
      <c r="F24" s="161"/>
      <c r="G24" s="161"/>
      <c r="H24" s="161"/>
      <c r="I24" s="161"/>
      <c r="J24" s="161"/>
      <c r="K24" s="77"/>
      <c r="L24" s="161"/>
      <c r="M24" s="161"/>
      <c r="N24" s="161"/>
      <c r="O24" s="161"/>
      <c r="P24" s="161"/>
      <c r="Q24" s="161"/>
      <c r="R24" s="161"/>
      <c r="S24" s="161"/>
      <c r="T24" s="161"/>
      <c r="U24" s="161"/>
      <c r="V24" s="161"/>
      <c r="W24" s="161"/>
      <c r="X24" s="161"/>
      <c r="Y24" s="24"/>
      <c r="Z24" s="24"/>
      <c r="AA24" s="24"/>
      <c r="AB24" s="24"/>
      <c r="AC24" s="24"/>
      <c r="AD24" s="24"/>
      <c r="AE24" s="24"/>
      <c r="AF24" s="24"/>
      <c r="AG24" s="24"/>
      <c r="AH24" s="24"/>
      <c r="AI24" s="24"/>
      <c r="AJ24" s="24"/>
    </row>
    <row r="25" spans="1:36" x14ac:dyDescent="0.2">
      <c r="A25" s="110"/>
      <c r="B25" s="97"/>
      <c r="C25" s="161"/>
      <c r="D25" s="161"/>
      <c r="E25" s="161"/>
      <c r="F25" s="161"/>
      <c r="G25" s="161"/>
      <c r="H25" s="161"/>
      <c r="I25" s="161"/>
      <c r="J25" s="161"/>
      <c r="K25" s="77"/>
      <c r="L25" s="161"/>
      <c r="M25" s="161"/>
      <c r="N25" s="161"/>
      <c r="O25" s="161"/>
      <c r="P25" s="161"/>
      <c r="Q25" s="161"/>
      <c r="R25" s="161"/>
      <c r="S25" s="161"/>
      <c r="T25" s="161"/>
      <c r="U25" s="161"/>
      <c r="V25" s="161"/>
      <c r="W25" s="161"/>
      <c r="X25" s="161"/>
      <c r="Y25" s="24"/>
      <c r="Z25" s="24"/>
      <c r="AA25" s="24"/>
      <c r="AB25" s="24"/>
      <c r="AC25" s="24"/>
      <c r="AD25" s="24"/>
      <c r="AE25" s="24"/>
      <c r="AF25" s="24"/>
      <c r="AG25" s="24"/>
      <c r="AH25" s="24"/>
      <c r="AI25" s="24"/>
      <c r="AJ25" s="24"/>
    </row>
    <row r="26" spans="1:36" x14ac:dyDescent="0.2">
      <c r="A26" s="110"/>
      <c r="B26" s="195"/>
      <c r="C26" s="161"/>
      <c r="D26" s="161"/>
      <c r="E26" s="161"/>
      <c r="F26" s="161"/>
      <c r="G26" s="161"/>
      <c r="H26" s="161"/>
      <c r="I26" s="161"/>
      <c r="J26" s="161"/>
      <c r="K26" s="197"/>
      <c r="L26" s="161"/>
      <c r="M26" s="161"/>
      <c r="N26" s="161"/>
      <c r="O26" s="161"/>
      <c r="P26" s="161"/>
      <c r="Q26" s="161"/>
      <c r="R26" s="161"/>
      <c r="S26" s="161"/>
      <c r="T26" s="161"/>
      <c r="U26" s="161"/>
      <c r="V26" s="161"/>
      <c r="W26" s="161"/>
      <c r="X26" s="161"/>
      <c r="Y26" s="24"/>
      <c r="Z26" s="24"/>
      <c r="AA26" s="24"/>
      <c r="AB26" s="24"/>
      <c r="AC26" s="24"/>
      <c r="AD26" s="24"/>
      <c r="AE26" s="24"/>
      <c r="AF26" s="24"/>
      <c r="AG26" s="24"/>
      <c r="AH26" s="24"/>
      <c r="AI26" s="24"/>
      <c r="AJ26" s="24"/>
    </row>
    <row r="27" spans="1:36" x14ac:dyDescent="0.2">
      <c r="A27" s="110"/>
      <c r="B27" s="195"/>
      <c r="C27" s="161"/>
      <c r="D27" s="161"/>
      <c r="E27" s="161"/>
      <c r="F27" s="161"/>
      <c r="G27" s="161"/>
      <c r="H27" s="161"/>
      <c r="I27" s="161"/>
      <c r="J27" s="161"/>
      <c r="K27" s="197"/>
      <c r="L27" s="161"/>
      <c r="M27" s="161"/>
      <c r="N27" s="161"/>
      <c r="O27" s="161"/>
      <c r="P27" s="161"/>
      <c r="Q27" s="161"/>
      <c r="R27" s="161"/>
      <c r="S27" s="161"/>
      <c r="T27" s="161"/>
      <c r="U27" s="161"/>
      <c r="V27" s="161"/>
      <c r="W27" s="161"/>
      <c r="X27" s="161"/>
      <c r="Y27" s="24"/>
      <c r="Z27" s="24"/>
      <c r="AA27" s="24"/>
      <c r="AB27" s="24"/>
      <c r="AC27" s="24"/>
      <c r="AD27" s="24"/>
      <c r="AE27" s="24"/>
      <c r="AF27" s="24"/>
      <c r="AG27" s="24"/>
      <c r="AH27" s="24"/>
      <c r="AI27" s="24"/>
      <c r="AJ27" s="24"/>
    </row>
    <row r="28" spans="1:36" x14ac:dyDescent="0.2">
      <c r="A28" s="110"/>
      <c r="B28" s="195"/>
      <c r="C28" s="161"/>
      <c r="D28" s="161"/>
      <c r="E28" s="161"/>
      <c r="F28" s="161"/>
      <c r="G28" s="161"/>
      <c r="H28" s="161"/>
      <c r="I28" s="161"/>
      <c r="J28" s="161"/>
      <c r="K28" s="197"/>
      <c r="L28" s="161"/>
      <c r="M28" s="161"/>
      <c r="N28" s="161"/>
      <c r="O28" s="161"/>
      <c r="P28" s="161"/>
      <c r="Q28" s="161"/>
      <c r="R28" s="161"/>
      <c r="S28" s="161"/>
      <c r="T28" s="161"/>
      <c r="U28" s="161"/>
      <c r="V28" s="161"/>
      <c r="W28" s="161"/>
      <c r="X28" s="161"/>
      <c r="Y28" s="24"/>
      <c r="Z28" s="24"/>
      <c r="AA28" s="24"/>
      <c r="AB28" s="24"/>
      <c r="AC28" s="24"/>
      <c r="AD28" s="24"/>
      <c r="AE28" s="24"/>
      <c r="AF28" s="24"/>
      <c r="AG28" s="24"/>
      <c r="AH28" s="24"/>
      <c r="AI28" s="24"/>
      <c r="AJ28" s="24"/>
    </row>
    <row r="29" spans="1:36" x14ac:dyDescent="0.2">
      <c r="A29" s="110"/>
      <c r="B29" s="106"/>
      <c r="C29" s="77"/>
      <c r="D29" s="161"/>
      <c r="E29" s="161"/>
      <c r="F29" s="161"/>
      <c r="G29" s="161"/>
      <c r="H29" s="161"/>
      <c r="I29" s="161"/>
      <c r="J29" s="161"/>
      <c r="K29" s="161"/>
      <c r="L29" s="161"/>
      <c r="M29" s="161"/>
      <c r="N29" s="161"/>
      <c r="O29" s="161"/>
      <c r="P29" s="161"/>
      <c r="Q29" s="161"/>
      <c r="R29" s="161"/>
      <c r="S29" s="161"/>
      <c r="T29" s="161"/>
      <c r="U29" s="161"/>
      <c r="V29" s="161"/>
      <c r="W29" s="161"/>
      <c r="X29" s="161"/>
      <c r="Y29" s="24"/>
      <c r="Z29" s="24"/>
      <c r="AA29" s="24"/>
      <c r="AB29" s="24"/>
      <c r="AC29" s="24"/>
      <c r="AD29" s="24"/>
      <c r="AE29" s="24"/>
      <c r="AF29" s="24"/>
      <c r="AG29" s="24"/>
      <c r="AH29" s="24"/>
      <c r="AI29" s="24"/>
      <c r="AJ29" s="24"/>
    </row>
    <row r="30" spans="1:36" x14ac:dyDescent="0.2">
      <c r="A30" s="110"/>
      <c r="B30" s="195"/>
      <c r="C30" s="161"/>
      <c r="D30" s="161"/>
      <c r="E30" s="161"/>
      <c r="F30" s="161"/>
      <c r="G30" s="161"/>
      <c r="H30" s="161"/>
      <c r="I30" s="161"/>
      <c r="J30" s="161"/>
      <c r="K30" s="161"/>
      <c r="L30" s="161"/>
      <c r="M30" s="77"/>
      <c r="N30" s="161"/>
      <c r="O30" s="161"/>
      <c r="P30" s="77"/>
      <c r="Q30" s="161"/>
      <c r="R30" s="161"/>
      <c r="S30" s="161"/>
      <c r="T30" s="161"/>
      <c r="U30" s="161"/>
      <c r="V30" s="161"/>
      <c r="W30" s="161"/>
      <c r="X30" s="161"/>
      <c r="Y30" s="24"/>
      <c r="Z30" s="24"/>
      <c r="AA30" s="24"/>
      <c r="AB30" s="24"/>
      <c r="AC30" s="24"/>
      <c r="AD30" s="24"/>
      <c r="AE30" s="24"/>
      <c r="AF30" s="24"/>
      <c r="AG30" s="24"/>
      <c r="AH30" s="24"/>
      <c r="AI30" s="24"/>
      <c r="AJ30" s="24"/>
    </row>
    <row r="31" spans="1:36" x14ac:dyDescent="0.2">
      <c r="A31" s="110"/>
      <c r="B31" s="195"/>
      <c r="C31" s="161"/>
      <c r="D31" s="161"/>
      <c r="E31" s="161"/>
      <c r="F31" s="161"/>
      <c r="G31" s="161"/>
      <c r="H31" s="161"/>
      <c r="I31" s="161"/>
      <c r="J31" s="161"/>
      <c r="K31" s="161"/>
      <c r="L31" s="161"/>
      <c r="M31" s="77"/>
      <c r="N31" s="161"/>
      <c r="O31" s="161"/>
      <c r="P31" s="77"/>
      <c r="Q31" s="161"/>
      <c r="R31" s="161"/>
      <c r="S31" s="161"/>
      <c r="T31" s="161"/>
      <c r="U31" s="161"/>
      <c r="V31" s="161"/>
      <c r="W31" s="161"/>
      <c r="X31" s="161"/>
      <c r="Y31" s="24"/>
      <c r="Z31" s="24"/>
      <c r="AA31" s="24"/>
      <c r="AB31" s="24"/>
      <c r="AC31" s="24"/>
      <c r="AD31" s="24"/>
      <c r="AE31" s="24"/>
      <c r="AF31" s="24"/>
      <c r="AG31" s="24"/>
      <c r="AH31" s="24"/>
      <c r="AI31" s="24"/>
      <c r="AJ31" s="24"/>
    </row>
    <row r="32" spans="1:36" x14ac:dyDescent="0.2">
      <c r="A32" s="110"/>
      <c r="B32" s="195"/>
      <c r="C32" s="161"/>
      <c r="D32" s="161"/>
      <c r="E32" s="161"/>
      <c r="F32" s="161"/>
      <c r="G32" s="161"/>
      <c r="H32" s="161"/>
      <c r="I32" s="161"/>
      <c r="J32" s="161"/>
      <c r="K32" s="161"/>
      <c r="L32" s="161"/>
      <c r="M32" s="161"/>
      <c r="N32" s="77"/>
      <c r="O32" s="161"/>
      <c r="P32" s="161"/>
      <c r="Q32" s="161"/>
      <c r="R32" s="161"/>
      <c r="S32" s="77"/>
      <c r="T32" s="161"/>
      <c r="U32" s="161"/>
      <c r="V32" s="161"/>
      <c r="W32" s="161"/>
      <c r="X32" s="161"/>
      <c r="Y32" s="24"/>
      <c r="Z32" s="24"/>
      <c r="AA32" s="24"/>
      <c r="AB32" s="24"/>
      <c r="AC32" s="24"/>
      <c r="AD32" s="24"/>
      <c r="AE32" s="24"/>
      <c r="AF32" s="24"/>
      <c r="AG32" s="24"/>
      <c r="AH32" s="24"/>
      <c r="AI32" s="24"/>
      <c r="AJ32" s="24"/>
    </row>
    <row r="33" spans="1:133" x14ac:dyDescent="0.2">
      <c r="A33" s="110"/>
      <c r="B33" s="195"/>
      <c r="C33" s="161"/>
      <c r="D33" s="161"/>
      <c r="E33" s="161"/>
      <c r="F33" s="161"/>
      <c r="G33" s="161"/>
      <c r="H33" s="161"/>
      <c r="I33" s="161"/>
      <c r="J33" s="161"/>
      <c r="K33" s="161"/>
      <c r="L33" s="161"/>
      <c r="M33" s="161"/>
      <c r="N33" s="77"/>
      <c r="O33" s="161"/>
      <c r="P33" s="161"/>
      <c r="Q33" s="161"/>
      <c r="R33" s="161"/>
      <c r="S33" s="77"/>
      <c r="T33" s="161"/>
      <c r="U33" s="161"/>
      <c r="V33" s="161"/>
      <c r="W33" s="161"/>
      <c r="X33" s="161"/>
      <c r="Y33" s="24"/>
      <c r="Z33" s="24"/>
      <c r="AA33" s="24"/>
      <c r="AB33" s="24"/>
      <c r="AC33" s="24"/>
      <c r="AD33" s="24"/>
      <c r="AE33" s="24"/>
      <c r="AF33" s="24"/>
      <c r="AG33" s="24"/>
      <c r="AH33" s="24"/>
      <c r="AI33" s="24"/>
      <c r="AJ33" s="24"/>
    </row>
    <row r="34" spans="1:133" x14ac:dyDescent="0.2">
      <c r="A34" s="110"/>
      <c r="B34" s="195"/>
      <c r="C34" s="161"/>
      <c r="D34" s="161"/>
      <c r="E34" s="161"/>
      <c r="F34" s="161"/>
      <c r="G34" s="161"/>
      <c r="H34" s="161"/>
      <c r="I34" s="161"/>
      <c r="J34" s="161"/>
      <c r="K34" s="161"/>
      <c r="L34" s="161"/>
      <c r="M34" s="161"/>
      <c r="N34" s="77"/>
      <c r="O34" s="161"/>
      <c r="P34" s="161"/>
      <c r="Q34" s="161"/>
      <c r="R34" s="161"/>
      <c r="S34" s="77"/>
      <c r="T34" s="161"/>
      <c r="U34" s="161"/>
      <c r="V34" s="161"/>
      <c r="W34" s="161"/>
      <c r="X34" s="161"/>
      <c r="Y34" s="24"/>
      <c r="Z34" s="24"/>
      <c r="AA34" s="24"/>
      <c r="AB34" s="24"/>
      <c r="AC34" s="24"/>
      <c r="AD34" s="24"/>
      <c r="AE34" s="24"/>
      <c r="AF34" s="24"/>
      <c r="AG34" s="24"/>
      <c r="AH34" s="24"/>
      <c r="AI34" s="24"/>
      <c r="AJ34" s="24"/>
    </row>
    <row r="35" spans="1:133" x14ac:dyDescent="0.2">
      <c r="A35" s="110"/>
      <c r="B35" s="195"/>
      <c r="C35" s="161"/>
      <c r="D35" s="161"/>
      <c r="E35" s="161"/>
      <c r="F35" s="161"/>
      <c r="G35" s="161"/>
      <c r="H35" s="161"/>
      <c r="I35" s="161"/>
      <c r="J35" s="161"/>
      <c r="K35" s="161"/>
      <c r="L35" s="161"/>
      <c r="M35" s="161"/>
      <c r="N35" s="77"/>
      <c r="O35" s="161"/>
      <c r="P35" s="161"/>
      <c r="Q35" s="161"/>
      <c r="R35" s="161"/>
      <c r="S35" s="77"/>
      <c r="T35" s="161"/>
      <c r="U35" s="161"/>
      <c r="V35" s="161"/>
      <c r="W35" s="161"/>
      <c r="X35" s="161"/>
      <c r="Y35" s="24"/>
      <c r="Z35" s="24"/>
      <c r="AA35" s="24"/>
      <c r="AB35" s="24"/>
      <c r="AC35" s="24"/>
      <c r="AD35" s="24"/>
      <c r="AE35" s="24"/>
      <c r="AF35" s="24"/>
      <c r="AG35" s="24"/>
      <c r="AH35" s="24"/>
      <c r="AI35" s="24"/>
      <c r="AJ35" s="24"/>
    </row>
    <row r="36" spans="1:133" x14ac:dyDescent="0.2">
      <c r="A36" s="110"/>
      <c r="B36" s="195"/>
      <c r="C36" s="161"/>
      <c r="D36" s="161"/>
      <c r="E36" s="161"/>
      <c r="F36" s="161"/>
      <c r="G36" s="161"/>
      <c r="H36" s="161"/>
      <c r="I36" s="161"/>
      <c r="J36" s="161"/>
      <c r="K36" s="161"/>
      <c r="L36" s="161"/>
      <c r="M36" s="77"/>
      <c r="N36" s="161"/>
      <c r="O36" s="161"/>
      <c r="P36" s="161"/>
      <c r="Q36" s="161"/>
      <c r="R36" s="161"/>
      <c r="S36" s="161"/>
      <c r="T36" s="161"/>
      <c r="U36" s="161"/>
      <c r="V36" s="161"/>
      <c r="W36" s="161"/>
      <c r="X36" s="161"/>
      <c r="Y36" s="24"/>
      <c r="Z36" s="24"/>
      <c r="AA36" s="24"/>
      <c r="AB36" s="24"/>
      <c r="AC36" s="24"/>
      <c r="AD36" s="24"/>
      <c r="AE36" s="24"/>
      <c r="AF36" s="24"/>
      <c r="AG36" s="24"/>
      <c r="AH36" s="24"/>
      <c r="AI36" s="24"/>
      <c r="AJ36" s="24"/>
    </row>
    <row r="37" spans="1:133" x14ac:dyDescent="0.2">
      <c r="A37" s="110"/>
      <c r="B37" s="195"/>
      <c r="C37" s="161"/>
      <c r="D37" s="161"/>
      <c r="E37" s="161"/>
      <c r="F37" s="161"/>
      <c r="G37" s="161"/>
      <c r="H37" s="161"/>
      <c r="I37" s="161"/>
      <c r="J37" s="161"/>
      <c r="K37" s="161"/>
      <c r="L37" s="161"/>
      <c r="M37" s="77"/>
      <c r="N37" s="161"/>
      <c r="O37" s="161"/>
      <c r="P37" s="161"/>
      <c r="Q37" s="161"/>
      <c r="R37" s="161"/>
      <c r="S37" s="161"/>
      <c r="T37" s="161"/>
      <c r="U37" s="161"/>
      <c r="V37" s="161"/>
      <c r="W37" s="161"/>
      <c r="X37" s="161"/>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row>
    <row r="38" spans="1:133" x14ac:dyDescent="0.2">
      <c r="A38" s="110"/>
      <c r="B38" s="195"/>
      <c r="C38" s="161"/>
      <c r="D38" s="161"/>
      <c r="E38" s="161"/>
      <c r="F38" s="161"/>
      <c r="G38" s="161"/>
      <c r="H38" s="161"/>
      <c r="I38" s="161"/>
      <c r="J38" s="161"/>
      <c r="K38" s="161"/>
      <c r="L38" s="161"/>
      <c r="M38" s="77"/>
      <c r="N38" s="161"/>
      <c r="O38" s="161"/>
      <c r="P38" s="161"/>
      <c r="Q38" s="161"/>
      <c r="R38" s="161"/>
      <c r="S38" s="161"/>
      <c r="T38" s="161"/>
      <c r="U38" s="161"/>
      <c r="V38" s="161"/>
      <c r="W38" s="161"/>
      <c r="X38" s="161"/>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row>
    <row r="39" spans="1:133" x14ac:dyDescent="0.2">
      <c r="A39" s="110"/>
      <c r="B39" s="195"/>
      <c r="C39" s="161"/>
      <c r="D39" s="161"/>
      <c r="E39" s="161"/>
      <c r="F39" s="161"/>
      <c r="G39" s="161"/>
      <c r="H39" s="161"/>
      <c r="I39" s="161"/>
      <c r="J39" s="161"/>
      <c r="K39" s="161"/>
      <c r="L39" s="161"/>
      <c r="M39" s="161"/>
      <c r="N39" s="161"/>
      <c r="O39" s="77"/>
      <c r="P39" s="161"/>
      <c r="Q39" s="161"/>
      <c r="R39" s="161"/>
      <c r="S39" s="161"/>
      <c r="T39" s="161"/>
      <c r="U39" s="161"/>
      <c r="V39" s="161"/>
      <c r="W39" s="161"/>
      <c r="X39" s="161"/>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row>
    <row r="40" spans="1:133" x14ac:dyDescent="0.2">
      <c r="A40" s="110"/>
      <c r="B40" s="195"/>
      <c r="C40" s="161"/>
      <c r="D40" s="161"/>
      <c r="E40" s="161"/>
      <c r="F40" s="161"/>
      <c r="G40" s="161"/>
      <c r="H40" s="161"/>
      <c r="I40" s="161"/>
      <c r="J40" s="161"/>
      <c r="K40" s="161"/>
      <c r="L40" s="161"/>
      <c r="M40" s="161"/>
      <c r="N40" s="161"/>
      <c r="O40" s="77"/>
      <c r="P40" s="161"/>
      <c r="Q40" s="161"/>
      <c r="R40" s="161"/>
      <c r="S40" s="161"/>
      <c r="T40" s="161"/>
      <c r="U40" s="161"/>
      <c r="V40" s="161"/>
      <c r="W40" s="161"/>
      <c r="X40" s="161"/>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row>
    <row r="41" spans="1:133" x14ac:dyDescent="0.2">
      <c r="A41" s="110"/>
      <c r="B41" s="415"/>
      <c r="C41" s="161"/>
      <c r="D41" s="161"/>
      <c r="E41" s="161"/>
      <c r="F41" s="161"/>
      <c r="G41" s="161"/>
      <c r="H41" s="161"/>
      <c r="I41" s="161"/>
      <c r="J41" s="161"/>
      <c r="K41" s="161"/>
      <c r="L41" s="161"/>
      <c r="M41" s="161"/>
      <c r="N41" s="161"/>
      <c r="O41" s="77"/>
      <c r="P41" s="161"/>
      <c r="Q41" s="77"/>
      <c r="R41" s="161"/>
      <c r="S41" s="161"/>
      <c r="T41" s="161"/>
      <c r="U41" s="161"/>
      <c r="V41" s="161"/>
      <c r="W41" s="161"/>
      <c r="X41" s="161"/>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row>
    <row r="42" spans="1:133" x14ac:dyDescent="0.2">
      <c r="A42" s="110"/>
      <c r="B42" s="415"/>
      <c r="C42" s="161"/>
      <c r="D42" s="161"/>
      <c r="E42" s="161"/>
      <c r="F42" s="161"/>
      <c r="G42" s="161"/>
      <c r="H42" s="161"/>
      <c r="I42" s="161"/>
      <c r="J42" s="161"/>
      <c r="K42" s="161"/>
      <c r="L42" s="161"/>
      <c r="M42" s="161"/>
      <c r="N42" s="77"/>
      <c r="O42" s="161"/>
      <c r="P42" s="161"/>
      <c r="Q42" s="161"/>
      <c r="R42" s="161"/>
      <c r="S42" s="77"/>
      <c r="T42" s="161"/>
      <c r="U42" s="161"/>
      <c r="V42" s="161"/>
      <c r="W42" s="161"/>
      <c r="X42" s="161"/>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row>
    <row r="43" spans="1:133" x14ac:dyDescent="0.2">
      <c r="A43" s="110"/>
      <c r="B43" s="415"/>
      <c r="C43" s="161"/>
      <c r="D43" s="161"/>
      <c r="E43" s="161"/>
      <c r="F43" s="161"/>
      <c r="G43" s="161"/>
      <c r="H43" s="161"/>
      <c r="I43" s="161"/>
      <c r="J43" s="161"/>
      <c r="K43" s="161"/>
      <c r="L43" s="161"/>
      <c r="M43" s="161"/>
      <c r="N43" s="161"/>
      <c r="O43" s="161"/>
      <c r="P43" s="77"/>
      <c r="Q43" s="161"/>
      <c r="R43" s="161"/>
      <c r="S43" s="161"/>
      <c r="T43" s="161"/>
      <c r="U43" s="161"/>
      <c r="V43" s="161"/>
      <c r="W43" s="161"/>
      <c r="X43" s="161"/>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row>
    <row r="44" spans="1:133" x14ac:dyDescent="0.2">
      <c r="A44" s="110"/>
      <c r="B44" s="415"/>
      <c r="C44" s="161"/>
      <c r="D44" s="161"/>
      <c r="E44" s="161"/>
      <c r="F44" s="161"/>
      <c r="G44" s="161"/>
      <c r="H44" s="161"/>
      <c r="I44" s="161"/>
      <c r="J44" s="161"/>
      <c r="K44" s="161"/>
      <c r="L44" s="161"/>
      <c r="M44" s="161"/>
      <c r="N44" s="77"/>
      <c r="O44" s="161"/>
      <c r="P44" s="161"/>
      <c r="Q44" s="161"/>
      <c r="R44" s="161"/>
      <c r="S44" s="77"/>
      <c r="T44" s="161"/>
      <c r="U44" s="161"/>
      <c r="V44" s="161"/>
      <c r="W44" s="161"/>
      <c r="X44" s="161"/>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row>
    <row r="45" spans="1:133" x14ac:dyDescent="0.2">
      <c r="A45" s="110"/>
      <c r="B45" s="415"/>
      <c r="C45" s="161"/>
      <c r="D45" s="161"/>
      <c r="E45" s="161"/>
      <c r="F45" s="161"/>
      <c r="G45" s="161"/>
      <c r="H45" s="161"/>
      <c r="I45" s="161"/>
      <c r="J45" s="161"/>
      <c r="K45" s="161"/>
      <c r="L45" s="161"/>
      <c r="M45" s="161"/>
      <c r="N45" s="161"/>
      <c r="O45" s="161"/>
      <c r="P45" s="161"/>
      <c r="Q45" s="161"/>
      <c r="R45" s="77"/>
      <c r="S45" s="161"/>
      <c r="T45" s="161"/>
      <c r="U45" s="161"/>
      <c r="V45" s="161"/>
      <c r="W45" s="161"/>
      <c r="X45" s="77"/>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row>
    <row r="46" spans="1:133" x14ac:dyDescent="0.2">
      <c r="A46" s="110"/>
      <c r="B46" s="415"/>
      <c r="C46" s="161"/>
      <c r="D46" s="161"/>
      <c r="E46" s="161"/>
      <c r="F46" s="161"/>
      <c r="G46" s="161"/>
      <c r="H46" s="161"/>
      <c r="I46" s="161"/>
      <c r="J46" s="161"/>
      <c r="K46" s="161"/>
      <c r="L46" s="161"/>
      <c r="M46" s="161"/>
      <c r="N46" s="161"/>
      <c r="O46" s="161"/>
      <c r="P46" s="161"/>
      <c r="Q46" s="161"/>
      <c r="R46" s="77"/>
      <c r="S46" s="161"/>
      <c r="T46" s="161"/>
      <c r="U46" s="161"/>
      <c r="V46" s="161"/>
      <c r="W46" s="161"/>
      <c r="X46" s="161"/>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row>
    <row r="47" spans="1:133" x14ac:dyDescent="0.2">
      <c r="A47" s="110"/>
      <c r="B47" s="415"/>
      <c r="C47" s="161"/>
      <c r="D47" s="161"/>
      <c r="E47" s="161"/>
      <c r="F47" s="161"/>
      <c r="G47" s="161"/>
      <c r="H47" s="161"/>
      <c r="I47" s="161"/>
      <c r="J47" s="161"/>
      <c r="K47" s="161"/>
      <c r="L47" s="161"/>
      <c r="M47" s="161"/>
      <c r="N47" s="161"/>
      <c r="O47" s="161"/>
      <c r="P47" s="161"/>
      <c r="Q47" s="161"/>
      <c r="R47" s="77"/>
      <c r="S47" s="161"/>
      <c r="T47" s="161"/>
      <c r="U47" s="161"/>
      <c r="V47" s="161"/>
      <c r="W47" s="161"/>
      <c r="X47" s="161"/>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row>
    <row r="48" spans="1:133" x14ac:dyDescent="0.2">
      <c r="A48" s="110"/>
      <c r="B48" s="415"/>
      <c r="C48" s="161"/>
      <c r="D48" s="161"/>
      <c r="E48" s="161"/>
      <c r="F48" s="161"/>
      <c r="G48" s="161"/>
      <c r="H48" s="161"/>
      <c r="I48" s="161"/>
      <c r="J48" s="161"/>
      <c r="K48" s="161"/>
      <c r="L48" s="161"/>
      <c r="M48" s="161"/>
      <c r="N48" s="161"/>
      <c r="O48" s="77"/>
      <c r="P48" s="161"/>
      <c r="Q48" s="161"/>
      <c r="R48" s="161"/>
      <c r="S48" s="161"/>
      <c r="T48" s="161"/>
      <c r="U48" s="161"/>
      <c r="V48" s="161"/>
      <c r="W48" s="161"/>
      <c r="X48" s="161"/>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row>
    <row r="49" spans="1:133" x14ac:dyDescent="0.2">
      <c r="A49" s="110"/>
      <c r="B49" s="415"/>
      <c r="C49" s="161"/>
      <c r="D49" s="161"/>
      <c r="E49" s="161"/>
      <c r="F49" s="161"/>
      <c r="G49" s="161"/>
      <c r="H49" s="161"/>
      <c r="I49" s="161"/>
      <c r="J49" s="161"/>
      <c r="K49" s="161"/>
      <c r="L49" s="161"/>
      <c r="M49" s="161"/>
      <c r="N49" s="161"/>
      <c r="O49" s="161"/>
      <c r="P49" s="77"/>
      <c r="Q49" s="77"/>
      <c r="R49" s="161"/>
      <c r="S49" s="161"/>
      <c r="T49" s="161"/>
      <c r="U49" s="161"/>
      <c r="V49" s="161"/>
      <c r="W49" s="161"/>
      <c r="X49" s="161"/>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row>
    <row r="50" spans="1:133" x14ac:dyDescent="0.2">
      <c r="A50" s="110"/>
      <c r="B50" s="97"/>
      <c r="C50" s="161"/>
      <c r="D50" s="161"/>
      <c r="E50" s="161"/>
      <c r="F50" s="161"/>
      <c r="G50" s="161"/>
      <c r="H50" s="161"/>
      <c r="I50" s="161"/>
      <c r="J50" s="161"/>
      <c r="K50" s="161"/>
      <c r="L50" s="161"/>
      <c r="M50" s="161"/>
      <c r="N50" s="161"/>
      <c r="O50" s="77"/>
      <c r="P50" s="161"/>
      <c r="Q50" s="161"/>
      <c r="R50" s="161"/>
      <c r="S50" s="161"/>
      <c r="T50" s="161"/>
      <c r="U50" s="77"/>
      <c r="V50" s="161"/>
      <c r="W50" s="161"/>
      <c r="X50" s="161"/>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row>
    <row r="51" spans="1:133" x14ac:dyDescent="0.2">
      <c r="A51" s="110"/>
      <c r="B51" s="97"/>
      <c r="C51" s="161"/>
      <c r="D51" s="161"/>
      <c r="E51" s="161"/>
      <c r="F51" s="161"/>
      <c r="G51" s="161"/>
      <c r="H51" s="161"/>
      <c r="I51" s="161"/>
      <c r="J51" s="161"/>
      <c r="K51" s="161"/>
      <c r="L51" s="161"/>
      <c r="M51" s="161"/>
      <c r="N51" s="161"/>
      <c r="O51" s="161"/>
      <c r="P51" s="77"/>
      <c r="Q51" s="161"/>
      <c r="R51" s="161"/>
      <c r="S51" s="161"/>
      <c r="T51" s="161"/>
      <c r="U51" s="161"/>
      <c r="V51" s="77"/>
      <c r="W51" s="161"/>
      <c r="X51" s="161"/>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row>
    <row r="52" spans="1:133" x14ac:dyDescent="0.2">
      <c r="A52" s="110"/>
      <c r="B52" s="97"/>
      <c r="C52" s="161"/>
      <c r="D52" s="161"/>
      <c r="E52" s="161"/>
      <c r="F52" s="161"/>
      <c r="G52" s="161"/>
      <c r="H52" s="161"/>
      <c r="I52" s="161"/>
      <c r="J52" s="161"/>
      <c r="K52" s="161"/>
      <c r="L52" s="161"/>
      <c r="M52" s="161"/>
      <c r="N52" s="161"/>
      <c r="O52" s="161"/>
      <c r="P52" s="161"/>
      <c r="Q52" s="161"/>
      <c r="R52" s="77"/>
      <c r="S52" s="161"/>
      <c r="T52" s="161"/>
      <c r="U52" s="161"/>
      <c r="V52" s="161"/>
      <c r="W52" s="161"/>
      <c r="X52" s="161"/>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row>
    <row r="53" spans="1:133" x14ac:dyDescent="0.2">
      <c r="A53" s="110"/>
      <c r="B53" s="97"/>
      <c r="C53" s="161"/>
      <c r="D53" s="161"/>
      <c r="E53" s="161"/>
      <c r="F53" s="161"/>
      <c r="G53" s="161"/>
      <c r="H53" s="161"/>
      <c r="I53" s="161"/>
      <c r="J53" s="161"/>
      <c r="K53" s="161"/>
      <c r="L53" s="161"/>
      <c r="M53" s="161"/>
      <c r="N53" s="161"/>
      <c r="O53" s="161"/>
      <c r="P53" s="161"/>
      <c r="Q53" s="161"/>
      <c r="R53" s="77"/>
      <c r="S53" s="161"/>
      <c r="T53" s="161"/>
      <c r="U53" s="161"/>
      <c r="V53" s="161"/>
      <c r="W53" s="161"/>
      <c r="X53" s="161"/>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row>
    <row r="54" spans="1:133" x14ac:dyDescent="0.2">
      <c r="A54" s="110"/>
      <c r="B54" s="97"/>
      <c r="C54" s="161"/>
      <c r="D54" s="161"/>
      <c r="E54" s="161"/>
      <c r="F54" s="161"/>
      <c r="G54" s="161"/>
      <c r="H54" s="161"/>
      <c r="I54" s="161"/>
      <c r="J54" s="161"/>
      <c r="K54" s="161"/>
      <c r="L54" s="161"/>
      <c r="M54" s="161"/>
      <c r="N54" s="161"/>
      <c r="O54" s="161"/>
      <c r="P54" s="161"/>
      <c r="Q54" s="161"/>
      <c r="R54" s="77"/>
      <c r="S54" s="161"/>
      <c r="T54" s="161"/>
      <c r="U54" s="161"/>
      <c r="V54" s="161"/>
      <c r="W54" s="161"/>
      <c r="X54" s="161"/>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row>
    <row r="55" spans="1:133" x14ac:dyDescent="0.2">
      <c r="A55" s="110"/>
      <c r="B55" s="98"/>
      <c r="C55" s="161"/>
      <c r="D55" s="161"/>
      <c r="E55" s="161"/>
      <c r="F55" s="161"/>
      <c r="G55" s="161"/>
      <c r="H55" s="161"/>
      <c r="I55" s="161"/>
      <c r="J55" s="161"/>
      <c r="K55" s="161"/>
      <c r="L55" s="161"/>
      <c r="M55" s="161"/>
      <c r="N55" s="161"/>
      <c r="O55" s="77"/>
      <c r="P55" s="161"/>
      <c r="Q55" s="161"/>
      <c r="R55" s="161"/>
      <c r="S55" s="161"/>
      <c r="T55" s="161"/>
      <c r="U55" s="77"/>
      <c r="V55" s="161"/>
      <c r="W55" s="161"/>
      <c r="X55" s="161"/>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row>
    <row r="56" spans="1:133" x14ac:dyDescent="0.2">
      <c r="A56" s="24"/>
      <c r="B56" s="97"/>
      <c r="C56" s="197"/>
      <c r="D56" s="197"/>
      <c r="E56" s="198"/>
      <c r="F56" s="198"/>
      <c r="G56" s="197"/>
      <c r="H56" s="198"/>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row>
    <row r="57" spans="1:133" x14ac:dyDescent="0.2">
      <c r="A57" s="24"/>
      <c r="B57" s="195"/>
      <c r="C57" s="197"/>
      <c r="D57" s="197"/>
      <c r="E57" s="198"/>
      <c r="F57" s="198"/>
      <c r="G57" s="197"/>
      <c r="H57" s="198"/>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row>
    <row r="58" spans="1:133" x14ac:dyDescent="0.2">
      <c r="A58" s="24"/>
      <c r="B58" s="97"/>
      <c r="C58" s="197"/>
      <c r="D58" s="197"/>
      <c r="E58" s="198"/>
      <c r="F58" s="198"/>
      <c r="G58" s="197"/>
      <c r="H58" s="198"/>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row>
    <row r="59" spans="1:133" x14ac:dyDescent="0.2">
      <c r="A59" s="24"/>
      <c r="B59" s="195"/>
      <c r="C59" s="197"/>
      <c r="D59" s="197"/>
      <c r="E59" s="198"/>
      <c r="F59" s="198"/>
      <c r="G59" s="197"/>
      <c r="H59" s="198"/>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row>
    <row r="60" spans="1:133" x14ac:dyDescent="0.2">
      <c r="A60" s="24"/>
      <c r="B60" s="97"/>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row>
    <row r="61" spans="1:133" x14ac:dyDescent="0.2">
      <c r="A61" s="24"/>
      <c r="B61" s="97"/>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row>
    <row r="62" spans="1:133" x14ac:dyDescent="0.2">
      <c r="A62" s="24"/>
      <c r="B62" s="97"/>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row>
    <row r="63" spans="1:133" x14ac:dyDescent="0.2">
      <c r="A63" s="24"/>
      <c r="B63" s="195"/>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row>
    <row r="64" spans="1:133" x14ac:dyDescent="0.2">
      <c r="A64" s="24"/>
      <c r="B64" s="195"/>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row>
    <row r="65" spans="1:133" x14ac:dyDescent="0.2">
      <c r="A65" s="24"/>
      <c r="B65" s="195"/>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row>
    <row r="66" spans="1:133" x14ac:dyDescent="0.2">
      <c r="A66" s="24"/>
      <c r="B66" s="195"/>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row>
    <row r="67" spans="1:133" x14ac:dyDescent="0.2">
      <c r="A67" s="24"/>
      <c r="B67" s="195"/>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row>
    <row r="68" spans="1:133" ht="10.5" x14ac:dyDescent="0.25">
      <c r="A68" s="24"/>
      <c r="B68" s="202"/>
      <c r="C68" s="31"/>
      <c r="D68" s="31"/>
      <c r="E68" s="31"/>
      <c r="F68" s="31"/>
      <c r="G68" s="31"/>
      <c r="H68" s="31"/>
      <c r="I68" s="31"/>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row>
    <row r="69" spans="1:133" x14ac:dyDescent="0.2">
      <c r="A69" s="24"/>
      <c r="B69" s="97"/>
      <c r="C69" s="197"/>
      <c r="D69" s="197"/>
      <c r="E69" s="197"/>
      <c r="F69" s="197"/>
      <c r="G69" s="197"/>
      <c r="H69" s="197"/>
      <c r="I69" s="197"/>
      <c r="J69" s="197"/>
      <c r="K69" s="197"/>
      <c r="L69" s="197"/>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row>
    <row r="70" spans="1:133" x14ac:dyDescent="0.2">
      <c r="A70" s="24"/>
      <c r="B70" s="97"/>
      <c r="C70" s="197"/>
      <c r="D70" s="197"/>
      <c r="E70" s="197"/>
      <c r="F70" s="197"/>
      <c r="G70" s="197"/>
      <c r="H70" s="197"/>
      <c r="I70" s="197"/>
      <c r="J70" s="197"/>
      <c r="K70" s="197"/>
      <c r="L70" s="197"/>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row>
    <row r="71" spans="1:133" x14ac:dyDescent="0.2">
      <c r="A71" s="24"/>
      <c r="B71" s="97"/>
      <c r="C71" s="197"/>
      <c r="D71" s="197"/>
      <c r="E71" s="197"/>
      <c r="F71" s="197"/>
      <c r="G71" s="197"/>
      <c r="H71" s="197"/>
      <c r="I71" s="197"/>
      <c r="J71" s="197"/>
      <c r="K71" s="197"/>
      <c r="L71" s="197"/>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row>
    <row r="72" spans="1:133" x14ac:dyDescent="0.2">
      <c r="A72" s="24"/>
      <c r="B72" s="97"/>
      <c r="C72" s="198"/>
      <c r="D72" s="198"/>
      <c r="E72" s="198"/>
      <c r="F72" s="197"/>
      <c r="G72" s="198"/>
      <c r="H72" s="198"/>
      <c r="I72" s="198"/>
      <c r="J72" s="198"/>
      <c r="K72" s="197"/>
      <c r="L72" s="197"/>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row>
    <row r="73" spans="1:133" x14ac:dyDescent="0.2">
      <c r="A73" s="24"/>
      <c r="B73" s="97"/>
      <c r="C73" s="198"/>
      <c r="D73" s="198"/>
      <c r="E73" s="198"/>
      <c r="F73" s="198"/>
      <c r="G73" s="197"/>
      <c r="H73" s="198"/>
      <c r="I73" s="198"/>
      <c r="J73" s="198"/>
      <c r="K73" s="197"/>
      <c r="L73" s="197"/>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row>
    <row r="74" spans="1:133" x14ac:dyDescent="0.2">
      <c r="A74" s="24"/>
      <c r="B74" s="97"/>
      <c r="C74" s="198"/>
      <c r="D74" s="197"/>
      <c r="E74" s="198"/>
      <c r="F74" s="198"/>
      <c r="G74" s="198"/>
      <c r="H74" s="198"/>
      <c r="I74" s="198"/>
      <c r="J74" s="198"/>
      <c r="K74" s="197"/>
      <c r="L74" s="197"/>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row>
    <row r="75" spans="1:133" x14ac:dyDescent="0.2">
      <c r="A75" s="24"/>
      <c r="B75" s="97"/>
      <c r="C75" s="198"/>
      <c r="D75" s="197"/>
      <c r="E75" s="198"/>
      <c r="F75" s="198"/>
      <c r="G75" s="198"/>
      <c r="H75" s="198"/>
      <c r="I75" s="198"/>
      <c r="J75" s="198"/>
      <c r="K75" s="197"/>
      <c r="L75" s="197"/>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row>
    <row r="76" spans="1:133" x14ac:dyDescent="0.2">
      <c r="A76" s="24"/>
      <c r="B76" s="97"/>
      <c r="C76" s="197"/>
      <c r="D76" s="198"/>
      <c r="E76" s="198"/>
      <c r="F76" s="198"/>
      <c r="G76" s="198"/>
      <c r="H76" s="198"/>
      <c r="I76" s="198"/>
      <c r="J76" s="197"/>
      <c r="K76" s="197"/>
      <c r="L76" s="197"/>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row>
    <row r="77" spans="1:133" x14ac:dyDescent="0.2">
      <c r="A77" s="24"/>
      <c r="B77" s="97"/>
      <c r="C77" s="198"/>
      <c r="D77" s="198"/>
      <c r="E77" s="198"/>
      <c r="F77" s="198"/>
      <c r="G77" s="198"/>
      <c r="H77" s="197"/>
      <c r="I77" s="198"/>
      <c r="J77" s="198"/>
      <c r="K77" s="197"/>
      <c r="L77" s="197"/>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row>
    <row r="78" spans="1:133" x14ac:dyDescent="0.2">
      <c r="A78" s="24"/>
      <c r="B78" s="97"/>
      <c r="C78" s="198"/>
      <c r="D78" s="198"/>
      <c r="E78" s="198"/>
      <c r="F78" s="198"/>
      <c r="G78" s="198"/>
      <c r="H78" s="198"/>
      <c r="I78" s="197"/>
      <c r="J78" s="198"/>
      <c r="K78" s="197"/>
      <c r="L78" s="197"/>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row>
    <row r="79" spans="1:133" x14ac:dyDescent="0.2">
      <c r="A79" s="24"/>
      <c r="B79" s="97"/>
      <c r="C79" s="198"/>
      <c r="D79" s="198"/>
      <c r="E79" s="197"/>
      <c r="F79" s="198"/>
      <c r="G79" s="198"/>
      <c r="H79" s="198"/>
      <c r="I79" s="198"/>
      <c r="J79" s="198"/>
      <c r="K79" s="197"/>
      <c r="L79" s="197"/>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row>
    <row r="80" spans="1:133" x14ac:dyDescent="0.2">
      <c r="A80" s="24"/>
      <c r="B80" s="97"/>
      <c r="C80" s="197"/>
      <c r="D80" s="197"/>
      <c r="E80" s="197"/>
      <c r="F80" s="197"/>
      <c r="G80" s="197"/>
      <c r="H80" s="197"/>
      <c r="I80" s="197"/>
      <c r="J80" s="197"/>
      <c r="K80" s="197"/>
      <c r="L80" s="197"/>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row>
    <row r="81" spans="1:133" x14ac:dyDescent="0.2">
      <c r="A81" s="24"/>
      <c r="B81" s="97"/>
      <c r="C81" s="197"/>
      <c r="D81" s="197"/>
      <c r="E81" s="197"/>
      <c r="F81" s="197"/>
      <c r="G81" s="197"/>
      <c r="H81" s="197"/>
      <c r="I81" s="197"/>
      <c r="J81" s="197"/>
      <c r="K81" s="197"/>
      <c r="L81" s="197"/>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row>
    <row r="82" spans="1:133" x14ac:dyDescent="0.2">
      <c r="A82" s="24"/>
      <c r="B82" s="195"/>
      <c r="C82" s="197"/>
      <c r="D82" s="197"/>
      <c r="E82" s="197"/>
      <c r="F82" s="197"/>
      <c r="G82" s="197"/>
      <c r="H82" s="197"/>
      <c r="I82" s="197"/>
      <c r="J82" s="197"/>
      <c r="K82" s="197"/>
      <c r="L82" s="197"/>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row>
    <row r="83" spans="1:133" x14ac:dyDescent="0.2">
      <c r="A83" s="24"/>
      <c r="B83" s="195"/>
      <c r="C83" s="197"/>
      <c r="D83" s="197"/>
      <c r="E83" s="197"/>
      <c r="F83" s="197"/>
      <c r="G83" s="197"/>
      <c r="H83" s="197"/>
      <c r="I83" s="197"/>
      <c r="J83" s="197"/>
      <c r="K83" s="197"/>
      <c r="L83" s="197"/>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row>
    <row r="84" spans="1:133" x14ac:dyDescent="0.2">
      <c r="A84" s="24"/>
      <c r="B84" s="19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row>
    <row r="85" spans="1:133" x14ac:dyDescent="0.2">
      <c r="A85" s="24"/>
      <c r="B85" s="195"/>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row>
    <row r="86" spans="1:133" x14ac:dyDescent="0.2">
      <c r="A86" s="24"/>
      <c r="B86" s="195"/>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row>
    <row r="87" spans="1:133" x14ac:dyDescent="0.2">
      <c r="A87" s="24"/>
      <c r="B87" s="195"/>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row>
    <row r="88" spans="1:133" x14ac:dyDescent="0.2">
      <c r="A88" s="24"/>
      <c r="B88" s="195"/>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row>
    <row r="89" spans="1:133" x14ac:dyDescent="0.2">
      <c r="A89" s="24"/>
      <c r="B89" s="195"/>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row>
    <row r="90" spans="1:133" x14ac:dyDescent="0.2">
      <c r="A90" s="24"/>
      <c r="B90" s="195"/>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row>
    <row r="91" spans="1:133" x14ac:dyDescent="0.2">
      <c r="A91" s="24"/>
      <c r="B91" s="195"/>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row>
    <row r="92" spans="1:133" x14ac:dyDescent="0.2">
      <c r="A92" s="24"/>
      <c r="B92" s="195"/>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row>
    <row r="93" spans="1:133" x14ac:dyDescent="0.2">
      <c r="A93" s="24"/>
      <c r="B93" s="195"/>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row>
    <row r="94" spans="1:133" x14ac:dyDescent="0.2">
      <c r="A94" s="24"/>
      <c r="B94" s="195"/>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row>
    <row r="95" spans="1:133" x14ac:dyDescent="0.2">
      <c r="A95" s="24"/>
      <c r="B95" s="195"/>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row>
    <row r="96" spans="1:133" x14ac:dyDescent="0.2">
      <c r="A96" s="24"/>
      <c r="B96" s="195"/>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row>
    <row r="97" spans="1:133" x14ac:dyDescent="0.2">
      <c r="A97" s="24"/>
      <c r="B97" s="195"/>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row>
    <row r="98" spans="1:133" x14ac:dyDescent="0.2">
      <c r="A98" s="24"/>
      <c r="B98" s="195"/>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row>
    <row r="99" spans="1:133" ht="10.5" x14ac:dyDescent="0.25">
      <c r="A99" s="24"/>
      <c r="B99" s="202"/>
      <c r="C99" s="31"/>
      <c r="D99" s="31"/>
      <c r="E99" s="31"/>
      <c r="F99" s="31"/>
      <c r="G99" s="31"/>
      <c r="H99" s="31"/>
      <c r="I99" s="31"/>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row>
    <row r="100" spans="1:133" x14ac:dyDescent="0.2">
      <c r="A100" s="24"/>
      <c r="B100" s="98"/>
      <c r="C100" s="197"/>
      <c r="D100" s="197"/>
      <c r="E100" s="197"/>
      <c r="F100" s="197"/>
      <c r="G100" s="197"/>
      <c r="H100" s="197"/>
      <c r="I100" s="197"/>
      <c r="J100" s="197"/>
      <c r="K100" s="197"/>
      <c r="L100" s="197"/>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row>
    <row r="101" spans="1:133" x14ac:dyDescent="0.2">
      <c r="A101" s="24"/>
      <c r="B101" s="98"/>
      <c r="C101" s="197"/>
      <c r="D101" s="197"/>
      <c r="E101" s="197"/>
      <c r="F101" s="197"/>
      <c r="G101" s="197"/>
      <c r="H101" s="197"/>
      <c r="I101" s="197"/>
      <c r="J101" s="197"/>
      <c r="K101" s="197"/>
      <c r="L101" s="197"/>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row>
    <row r="102" spans="1:133" x14ac:dyDescent="0.2">
      <c r="A102" s="24"/>
      <c r="B102" s="98"/>
      <c r="C102" s="197"/>
      <c r="D102" s="197"/>
      <c r="E102" s="197"/>
      <c r="F102" s="197"/>
      <c r="G102" s="197"/>
      <c r="H102" s="197"/>
      <c r="I102" s="197"/>
      <c r="J102" s="197"/>
      <c r="K102" s="197"/>
      <c r="L102" s="197"/>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row>
    <row r="103" spans="1:133" x14ac:dyDescent="0.2">
      <c r="A103" s="24"/>
      <c r="B103" s="98"/>
      <c r="C103" s="198"/>
      <c r="D103" s="198"/>
      <c r="E103" s="198"/>
      <c r="F103" s="197"/>
      <c r="G103" s="198"/>
      <c r="H103" s="198"/>
      <c r="I103" s="198"/>
      <c r="J103" s="197"/>
      <c r="K103" s="197"/>
      <c r="L103" s="198"/>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row>
    <row r="104" spans="1:133" x14ac:dyDescent="0.2">
      <c r="A104" s="24"/>
      <c r="B104" s="98"/>
      <c r="C104" s="198"/>
      <c r="D104" s="198"/>
      <c r="E104" s="198"/>
      <c r="F104" s="198"/>
      <c r="G104" s="197"/>
      <c r="H104" s="198"/>
      <c r="I104" s="198"/>
      <c r="J104" s="197"/>
      <c r="K104" s="197"/>
      <c r="L104" s="198"/>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row>
    <row r="105" spans="1:133" x14ac:dyDescent="0.2">
      <c r="A105" s="24"/>
      <c r="B105" s="98"/>
      <c r="C105" s="198"/>
      <c r="D105" s="197"/>
      <c r="E105" s="198"/>
      <c r="F105" s="198"/>
      <c r="G105" s="198"/>
      <c r="H105" s="198"/>
      <c r="I105" s="198"/>
      <c r="J105" s="197"/>
      <c r="K105" s="197"/>
      <c r="L105" s="198"/>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row>
    <row r="106" spans="1:133" x14ac:dyDescent="0.2">
      <c r="A106" s="24"/>
      <c r="B106" s="98"/>
      <c r="C106" s="197"/>
      <c r="D106" s="198"/>
      <c r="E106" s="198"/>
      <c r="F106" s="198"/>
      <c r="G106" s="198"/>
      <c r="H106" s="198"/>
      <c r="I106" s="198"/>
      <c r="J106" s="197"/>
      <c r="K106" s="197"/>
      <c r="L106" s="197"/>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row>
    <row r="107" spans="1:133" x14ac:dyDescent="0.2">
      <c r="A107" s="24"/>
      <c r="B107" s="98"/>
      <c r="C107" s="198"/>
      <c r="D107" s="198"/>
      <c r="E107" s="198"/>
      <c r="F107" s="198"/>
      <c r="G107" s="198"/>
      <c r="H107" s="197"/>
      <c r="I107" s="198"/>
      <c r="J107" s="197"/>
      <c r="K107" s="197"/>
      <c r="L107" s="198"/>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row>
    <row r="108" spans="1:133" x14ac:dyDescent="0.2">
      <c r="A108" s="24"/>
      <c r="B108" s="98"/>
      <c r="C108" s="198"/>
      <c r="D108" s="198"/>
      <c r="E108" s="198"/>
      <c r="F108" s="198"/>
      <c r="G108" s="198"/>
      <c r="H108" s="198"/>
      <c r="I108" s="197"/>
      <c r="J108" s="197"/>
      <c r="K108" s="197"/>
      <c r="L108" s="198"/>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row>
    <row r="109" spans="1:133" x14ac:dyDescent="0.2">
      <c r="A109" s="24"/>
      <c r="B109" s="98"/>
      <c r="C109" s="198"/>
      <c r="D109" s="198"/>
      <c r="E109" s="197"/>
      <c r="F109" s="198"/>
      <c r="G109" s="198"/>
      <c r="H109" s="198"/>
      <c r="I109" s="198"/>
      <c r="J109" s="197"/>
      <c r="K109" s="197"/>
      <c r="L109" s="198"/>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row>
    <row r="110" spans="1:133" x14ac:dyDescent="0.2">
      <c r="A110" s="24"/>
      <c r="B110" s="195"/>
      <c r="C110" s="197"/>
      <c r="D110" s="197"/>
      <c r="E110" s="197"/>
      <c r="F110" s="197"/>
      <c r="G110" s="197"/>
      <c r="H110" s="197"/>
      <c r="I110" s="197"/>
      <c r="J110" s="197"/>
      <c r="K110" s="197"/>
      <c r="L110" s="197"/>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row>
    <row r="111" spans="1:133" x14ac:dyDescent="0.2">
      <c r="A111" s="24"/>
      <c r="B111" s="195"/>
      <c r="C111" s="197"/>
      <c r="D111" s="197"/>
      <c r="E111" s="197"/>
      <c r="F111" s="197"/>
      <c r="G111" s="197"/>
      <c r="H111" s="197"/>
      <c r="I111" s="197"/>
      <c r="J111" s="197"/>
      <c r="K111" s="197"/>
      <c r="L111" s="197"/>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row>
    <row r="112" spans="1:133" x14ac:dyDescent="0.2">
      <c r="A112" s="24"/>
      <c r="B112" s="195"/>
      <c r="C112" s="197"/>
      <c r="D112" s="197"/>
      <c r="E112" s="197"/>
      <c r="F112" s="197"/>
      <c r="G112" s="197"/>
      <c r="H112" s="197"/>
      <c r="I112" s="197"/>
      <c r="J112" s="197"/>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row>
    <row r="113" spans="1:133" x14ac:dyDescent="0.2">
      <c r="A113" s="24"/>
      <c r="B113" s="195"/>
      <c r="C113" s="197"/>
      <c r="D113" s="197"/>
      <c r="E113" s="197"/>
      <c r="F113" s="197"/>
      <c r="G113" s="197"/>
      <c r="H113" s="197"/>
      <c r="I113" s="197"/>
      <c r="J113" s="197"/>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row>
    <row r="114" spans="1:133" x14ac:dyDescent="0.2">
      <c r="A114" s="24"/>
      <c r="B114" s="195"/>
      <c r="C114" s="197"/>
      <c r="D114" s="197"/>
      <c r="E114" s="197"/>
      <c r="F114" s="197"/>
      <c r="G114" s="197"/>
      <c r="H114" s="197"/>
      <c r="I114" s="197"/>
      <c r="J114" s="197"/>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row>
    <row r="115" spans="1:133" x14ac:dyDescent="0.2">
      <c r="A115" s="24"/>
      <c r="B115" s="195"/>
      <c r="C115" s="197"/>
      <c r="D115" s="197"/>
      <c r="E115" s="197"/>
      <c r="F115" s="197"/>
      <c r="G115" s="197"/>
      <c r="H115" s="197"/>
      <c r="I115" s="197"/>
      <c r="J115" s="197"/>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row>
    <row r="116" spans="1:133" x14ac:dyDescent="0.2">
      <c r="A116" s="24"/>
      <c r="B116" s="195"/>
      <c r="C116" s="197"/>
      <c r="D116" s="197"/>
      <c r="E116" s="197"/>
      <c r="F116" s="197"/>
      <c r="G116" s="197"/>
      <c r="H116" s="197"/>
      <c r="I116" s="197"/>
      <c r="J116" s="197"/>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row>
    <row r="117" spans="1:133" x14ac:dyDescent="0.2">
      <c r="A117" s="24"/>
      <c r="B117" s="195"/>
      <c r="C117" s="197"/>
      <c r="D117" s="197"/>
      <c r="E117" s="197"/>
      <c r="F117" s="197"/>
      <c r="G117" s="197"/>
      <c r="H117" s="197"/>
      <c r="I117" s="197"/>
      <c r="J117" s="197"/>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row>
    <row r="118" spans="1:133" x14ac:dyDescent="0.2">
      <c r="A118" s="24"/>
      <c r="B118" s="195"/>
      <c r="C118" s="197"/>
      <c r="D118" s="197"/>
      <c r="E118" s="197"/>
      <c r="F118" s="197"/>
      <c r="G118" s="197"/>
      <c r="H118" s="197"/>
      <c r="I118" s="197"/>
      <c r="J118" s="197"/>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row>
    <row r="119" spans="1:133" x14ac:dyDescent="0.2">
      <c r="A119" s="24"/>
      <c r="B119" s="195"/>
      <c r="C119" s="197"/>
      <c r="D119" s="197"/>
      <c r="E119" s="197"/>
      <c r="F119" s="197"/>
      <c r="G119" s="197"/>
      <c r="H119" s="197"/>
      <c r="I119" s="197"/>
      <c r="J119" s="197"/>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row>
    <row r="120" spans="1:133" x14ac:dyDescent="0.2">
      <c r="A120" s="2"/>
      <c r="B120" s="106"/>
      <c r="C120" s="77"/>
      <c r="D120" s="77"/>
      <c r="E120" s="77"/>
      <c r="F120" s="77"/>
      <c r="G120" s="77"/>
      <c r="H120" s="77"/>
      <c r="I120" s="77"/>
      <c r="J120" s="77"/>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row>
    <row r="121" spans="1:133" x14ac:dyDescent="0.2">
      <c r="A121" s="2"/>
      <c r="B121" s="106"/>
      <c r="C121" s="77"/>
      <c r="D121" s="77"/>
      <c r="E121" s="77"/>
      <c r="F121" s="77"/>
      <c r="G121" s="77"/>
      <c r="H121" s="77"/>
      <c r="I121" s="77"/>
      <c r="J121" s="77"/>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row>
    <row r="122" spans="1:133" x14ac:dyDescent="0.2">
      <c r="A122" s="2"/>
      <c r="B122" s="106"/>
      <c r="C122" s="77"/>
      <c r="D122" s="77"/>
      <c r="E122" s="77"/>
      <c r="F122" s="77"/>
      <c r="G122" s="77"/>
      <c r="H122" s="77"/>
      <c r="I122" s="77"/>
      <c r="J122" s="77"/>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row>
    <row r="123" spans="1:133" x14ac:dyDescent="0.2">
      <c r="A123" s="2"/>
      <c r="B123" s="106"/>
      <c r="C123" s="77"/>
      <c r="D123" s="77"/>
      <c r="E123" s="77"/>
      <c r="F123" s="77"/>
      <c r="G123" s="77"/>
      <c r="H123" s="77"/>
      <c r="I123" s="77"/>
      <c r="J123" s="77"/>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row>
    <row r="124" spans="1:133" x14ac:dyDescent="0.2">
      <c r="A124" s="2"/>
      <c r="B124" s="106"/>
      <c r="C124" s="77"/>
      <c r="D124" s="77"/>
      <c r="E124" s="77"/>
      <c r="F124" s="77"/>
      <c r="G124" s="77"/>
      <c r="H124" s="77"/>
      <c r="I124" s="77"/>
      <c r="J124" s="77"/>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row>
    <row r="125" spans="1:133" x14ac:dyDescent="0.2">
      <c r="A125" s="2"/>
      <c r="B125" s="106"/>
      <c r="C125" s="77"/>
      <c r="D125" s="77"/>
      <c r="E125" s="77"/>
      <c r="F125" s="77"/>
      <c r="G125" s="77"/>
      <c r="H125" s="77"/>
      <c r="I125" s="77"/>
      <c r="J125" s="77"/>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row>
    <row r="126" spans="1:133" x14ac:dyDescent="0.2">
      <c r="A126" s="2"/>
      <c r="B126" s="106"/>
      <c r="C126" s="77"/>
      <c r="D126" s="77"/>
      <c r="E126" s="77"/>
      <c r="F126" s="77"/>
      <c r="G126" s="77"/>
      <c r="H126" s="77"/>
      <c r="I126" s="77"/>
      <c r="J126" s="77"/>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row>
    <row r="127" spans="1:133" x14ac:dyDescent="0.2">
      <c r="A127" s="2"/>
      <c r="B127" s="106"/>
      <c r="C127" s="77"/>
      <c r="D127" s="77"/>
      <c r="E127" s="77"/>
      <c r="F127" s="77"/>
      <c r="G127" s="77"/>
      <c r="H127" s="77"/>
      <c r="I127" s="77"/>
      <c r="J127" s="77"/>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row>
    <row r="128" spans="1:133" x14ac:dyDescent="0.2">
      <c r="A128" s="24"/>
      <c r="B128" s="195"/>
      <c r="C128" s="197"/>
      <c r="D128" s="197"/>
      <c r="E128" s="197"/>
      <c r="F128" s="197"/>
      <c r="G128" s="197"/>
      <c r="H128" s="197"/>
      <c r="I128" s="197"/>
      <c r="J128" s="197"/>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row>
    <row r="129" spans="1:61" x14ac:dyDescent="0.2">
      <c r="A129" s="24"/>
      <c r="B129" s="195"/>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row>
    <row r="130" spans="1:61" ht="10.5" x14ac:dyDescent="0.25">
      <c r="A130" s="24"/>
      <c r="B130" s="202"/>
      <c r="C130" s="24"/>
      <c r="D130" s="31"/>
      <c r="E130" s="31"/>
      <c r="F130" s="31"/>
      <c r="G130" s="31"/>
      <c r="H130" s="31"/>
      <c r="I130" s="31"/>
      <c r="J130" s="31"/>
      <c r="K130" s="31"/>
      <c r="L130" s="31"/>
      <c r="M130" s="31"/>
      <c r="N130" s="31"/>
      <c r="O130" s="31"/>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row>
    <row r="131" spans="1:61" x14ac:dyDescent="0.2">
      <c r="A131" s="24"/>
      <c r="B131" s="195"/>
      <c r="C131" s="198"/>
      <c r="D131" s="198"/>
      <c r="E131" s="198"/>
      <c r="F131" s="198"/>
      <c r="G131" s="198"/>
      <c r="H131" s="198"/>
      <c r="I131" s="198"/>
      <c r="J131" s="198"/>
      <c r="K131" s="198"/>
      <c r="L131" s="198"/>
      <c r="M131" s="198"/>
      <c r="N131" s="197"/>
      <c r="O131" s="198"/>
      <c r="P131" s="197"/>
      <c r="Q131" s="197"/>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row>
    <row r="132" spans="1:61" x14ac:dyDescent="0.2">
      <c r="A132" s="24"/>
      <c r="B132" s="97"/>
      <c r="C132" s="198"/>
      <c r="D132" s="198"/>
      <c r="E132" s="198"/>
      <c r="F132" s="198"/>
      <c r="G132" s="198"/>
      <c r="H132" s="198"/>
      <c r="I132" s="198"/>
      <c r="J132" s="198"/>
      <c r="K132" s="198"/>
      <c r="L132" s="198"/>
      <c r="M132" s="198"/>
      <c r="N132" s="197"/>
      <c r="O132" s="197"/>
      <c r="P132" s="197"/>
      <c r="Q132" s="197"/>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row>
    <row r="133" spans="1:61" x14ac:dyDescent="0.2">
      <c r="A133" s="24"/>
      <c r="B133" s="195"/>
      <c r="C133" s="198"/>
      <c r="D133" s="198"/>
      <c r="E133" s="198"/>
      <c r="F133" s="198"/>
      <c r="G133" s="198"/>
      <c r="H133" s="198"/>
      <c r="I133" s="198"/>
      <c r="J133" s="198"/>
      <c r="K133" s="198"/>
      <c r="L133" s="198"/>
      <c r="M133" s="198"/>
      <c r="N133" s="197"/>
      <c r="O133" s="198"/>
      <c r="P133" s="197"/>
      <c r="Q133" s="197"/>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row>
    <row r="134" spans="1:61" x14ac:dyDescent="0.2">
      <c r="A134" s="24"/>
      <c r="B134" s="195"/>
      <c r="C134" s="198"/>
      <c r="D134" s="198"/>
      <c r="E134" s="198"/>
      <c r="F134" s="198"/>
      <c r="G134" s="198"/>
      <c r="H134" s="198"/>
      <c r="I134" s="198"/>
      <c r="J134" s="198"/>
      <c r="K134" s="198"/>
      <c r="L134" s="198"/>
      <c r="M134" s="198"/>
      <c r="N134" s="197"/>
      <c r="O134" s="198"/>
      <c r="P134" s="197"/>
      <c r="Q134" s="197"/>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row>
    <row r="135" spans="1:61" x14ac:dyDescent="0.2">
      <c r="A135" s="24"/>
      <c r="B135" s="195"/>
      <c r="C135" s="197"/>
      <c r="D135" s="197"/>
      <c r="E135" s="197"/>
      <c r="F135" s="197"/>
      <c r="G135" s="197"/>
      <c r="H135" s="197"/>
      <c r="I135" s="197"/>
      <c r="J135" s="197"/>
      <c r="K135" s="197"/>
      <c r="L135" s="197"/>
      <c r="M135" s="197"/>
      <c r="N135" s="197"/>
      <c r="O135" s="198"/>
      <c r="P135" s="197"/>
      <c r="Q135" s="197"/>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row>
    <row r="136" spans="1:61" x14ac:dyDescent="0.2">
      <c r="A136" s="24"/>
      <c r="B136" s="97"/>
      <c r="C136" s="197"/>
      <c r="D136" s="197"/>
      <c r="E136" s="197"/>
      <c r="F136" s="197"/>
      <c r="G136" s="197"/>
      <c r="H136" s="197"/>
      <c r="I136" s="197"/>
      <c r="J136" s="197"/>
      <c r="K136" s="197"/>
      <c r="L136" s="197"/>
      <c r="M136" s="197"/>
      <c r="N136" s="197"/>
      <c r="O136" s="198"/>
      <c r="P136" s="197"/>
      <c r="Q136" s="197"/>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row>
    <row r="137" spans="1:61" x14ac:dyDescent="0.2">
      <c r="A137" s="24"/>
      <c r="B137" s="97"/>
      <c r="C137" s="197"/>
      <c r="D137" s="197"/>
      <c r="E137" s="197"/>
      <c r="F137" s="197"/>
      <c r="G137" s="197"/>
      <c r="H137" s="197"/>
      <c r="I137" s="197"/>
      <c r="J137" s="197"/>
      <c r="K137" s="197"/>
      <c r="L137" s="197"/>
      <c r="M137" s="197"/>
      <c r="N137" s="197"/>
      <c r="O137" s="198"/>
      <c r="P137" s="197"/>
      <c r="Q137" s="197"/>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row>
    <row r="138" spans="1:61" x14ac:dyDescent="0.2">
      <c r="A138" s="24"/>
      <c r="B138" s="97"/>
      <c r="C138" s="197"/>
      <c r="D138" s="197"/>
      <c r="E138" s="197"/>
      <c r="F138" s="197"/>
      <c r="G138" s="197"/>
      <c r="H138" s="197"/>
      <c r="I138" s="197"/>
      <c r="J138" s="197"/>
      <c r="K138" s="197"/>
      <c r="L138" s="197"/>
      <c r="M138" s="197"/>
      <c r="N138" s="197"/>
      <c r="O138" s="198"/>
      <c r="P138" s="197"/>
      <c r="Q138" s="197"/>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row>
    <row r="139" spans="1:61" x14ac:dyDescent="0.2">
      <c r="A139" s="24"/>
      <c r="B139" s="97"/>
      <c r="C139" s="197"/>
      <c r="D139" s="197"/>
      <c r="E139" s="197"/>
      <c r="F139" s="197"/>
      <c r="G139" s="197"/>
      <c r="H139" s="197"/>
      <c r="I139" s="197"/>
      <c r="J139" s="197"/>
      <c r="K139" s="197"/>
      <c r="L139" s="197"/>
      <c r="M139" s="197"/>
      <c r="N139" s="197"/>
      <c r="O139" s="198"/>
      <c r="P139" s="197"/>
      <c r="Q139" s="197"/>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row>
    <row r="140" spans="1:61" x14ac:dyDescent="0.2">
      <c r="A140" s="24"/>
      <c r="B140" s="97"/>
      <c r="C140" s="197"/>
      <c r="D140" s="197"/>
      <c r="E140" s="197"/>
      <c r="F140" s="197"/>
      <c r="G140" s="197"/>
      <c r="H140" s="197"/>
      <c r="I140" s="197"/>
      <c r="J140" s="197"/>
      <c r="K140" s="197"/>
      <c r="L140" s="197"/>
      <c r="M140" s="197"/>
      <c r="N140" s="197"/>
      <c r="O140" s="198"/>
      <c r="P140" s="197"/>
      <c r="Q140" s="197"/>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row>
    <row r="141" spans="1:61" x14ac:dyDescent="0.2">
      <c r="A141" s="24"/>
      <c r="B141" s="97"/>
      <c r="C141" s="197"/>
      <c r="D141" s="197"/>
      <c r="E141" s="197"/>
      <c r="F141" s="197"/>
      <c r="G141" s="197"/>
      <c r="H141" s="197"/>
      <c r="I141" s="197"/>
      <c r="J141" s="197"/>
      <c r="K141" s="197"/>
      <c r="L141" s="197"/>
      <c r="M141" s="197"/>
      <c r="N141" s="197"/>
      <c r="O141" s="198"/>
      <c r="P141" s="197"/>
      <c r="Q141" s="197"/>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row>
    <row r="142" spans="1:61" x14ac:dyDescent="0.2">
      <c r="A142" s="24"/>
      <c r="B142" s="97"/>
      <c r="C142" s="197"/>
      <c r="D142" s="197"/>
      <c r="E142" s="197"/>
      <c r="F142" s="197"/>
      <c r="G142" s="197"/>
      <c r="H142" s="197"/>
      <c r="I142" s="197"/>
      <c r="J142" s="197"/>
      <c r="K142" s="197"/>
      <c r="L142" s="197"/>
      <c r="M142" s="197"/>
      <c r="N142" s="197"/>
      <c r="O142" s="198"/>
      <c r="P142" s="197"/>
      <c r="Q142" s="197"/>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row>
    <row r="143" spans="1:61" x14ac:dyDescent="0.2">
      <c r="A143" s="24"/>
      <c r="B143" s="97"/>
      <c r="C143" s="197"/>
      <c r="D143" s="197"/>
      <c r="E143" s="197"/>
      <c r="F143" s="197"/>
      <c r="G143" s="197"/>
      <c r="H143" s="197"/>
      <c r="I143" s="197"/>
      <c r="J143" s="197"/>
      <c r="K143" s="197"/>
      <c r="L143" s="197"/>
      <c r="M143" s="197"/>
      <c r="N143" s="197"/>
      <c r="O143" s="198"/>
      <c r="P143" s="197"/>
      <c r="Q143" s="197"/>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row>
    <row r="144" spans="1:61" x14ac:dyDescent="0.2">
      <c r="A144" s="24"/>
      <c r="B144" s="97"/>
      <c r="C144" s="197"/>
      <c r="D144" s="197"/>
      <c r="E144" s="197"/>
      <c r="F144" s="197"/>
      <c r="G144" s="197"/>
      <c r="H144" s="197"/>
      <c r="I144" s="197"/>
      <c r="J144" s="197"/>
      <c r="K144" s="197"/>
      <c r="L144" s="197"/>
      <c r="M144" s="197"/>
      <c r="N144" s="197"/>
      <c r="O144" s="198"/>
      <c r="P144" s="197"/>
      <c r="Q144" s="197"/>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row>
    <row r="145" spans="1:61" x14ac:dyDescent="0.2">
      <c r="A145" s="24"/>
      <c r="B145" s="97"/>
      <c r="C145" s="197"/>
      <c r="D145" s="197"/>
      <c r="E145" s="197"/>
      <c r="F145" s="197"/>
      <c r="G145" s="197"/>
      <c r="H145" s="197"/>
      <c r="I145" s="197"/>
      <c r="J145" s="197"/>
      <c r="K145" s="197"/>
      <c r="L145" s="197"/>
      <c r="M145" s="197"/>
      <c r="N145" s="197"/>
      <c r="O145" s="198"/>
      <c r="P145" s="197"/>
      <c r="Q145" s="197"/>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row>
    <row r="146" spans="1:61" x14ac:dyDescent="0.2">
      <c r="A146" s="24"/>
      <c r="B146" s="97"/>
      <c r="C146" s="197"/>
      <c r="D146" s="197"/>
      <c r="E146" s="197"/>
      <c r="F146" s="197"/>
      <c r="G146" s="197"/>
      <c r="H146" s="197"/>
      <c r="I146" s="197"/>
      <c r="J146" s="197"/>
      <c r="K146" s="197"/>
      <c r="L146" s="197"/>
      <c r="M146" s="197"/>
      <c r="N146" s="197"/>
      <c r="O146" s="198"/>
      <c r="P146" s="197"/>
      <c r="Q146" s="197"/>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row>
    <row r="147" spans="1:61" x14ac:dyDescent="0.2">
      <c r="A147" s="24"/>
      <c r="B147" s="97"/>
      <c r="C147" s="197"/>
      <c r="D147" s="197"/>
      <c r="E147" s="197"/>
      <c r="F147" s="197"/>
      <c r="G147" s="197"/>
      <c r="H147" s="197"/>
      <c r="I147" s="197"/>
      <c r="J147" s="197"/>
      <c r="K147" s="197"/>
      <c r="L147" s="197"/>
      <c r="M147" s="197"/>
      <c r="N147" s="197"/>
      <c r="O147" s="198"/>
      <c r="P147" s="197"/>
      <c r="Q147" s="197"/>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row>
    <row r="148" spans="1:61" x14ac:dyDescent="0.2">
      <c r="A148" s="24"/>
      <c r="B148" s="97"/>
      <c r="C148" s="198"/>
      <c r="D148" s="198"/>
      <c r="E148" s="198"/>
      <c r="F148" s="198"/>
      <c r="G148" s="198"/>
      <c r="H148" s="198"/>
      <c r="I148" s="198"/>
      <c r="J148" s="198"/>
      <c r="K148" s="198"/>
      <c r="L148" s="198"/>
      <c r="M148" s="198"/>
      <c r="N148" s="198"/>
      <c r="O148" s="198"/>
      <c r="P148" s="198"/>
      <c r="Q148" s="197"/>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row>
    <row r="149" spans="1:61" x14ac:dyDescent="0.2">
      <c r="A149" s="24"/>
      <c r="B149" s="97"/>
      <c r="C149" s="197"/>
      <c r="D149" s="197"/>
      <c r="E149" s="197"/>
      <c r="F149" s="197"/>
      <c r="G149" s="197"/>
      <c r="H149" s="197"/>
      <c r="I149" s="197"/>
      <c r="J149" s="197"/>
      <c r="K149" s="197"/>
      <c r="L149" s="197"/>
      <c r="M149" s="197"/>
      <c r="N149" s="197"/>
      <c r="O149" s="198"/>
      <c r="P149" s="197"/>
      <c r="Q149" s="197"/>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row>
    <row r="150" spans="1:61" x14ac:dyDescent="0.2">
      <c r="A150" s="24"/>
      <c r="B150" s="97"/>
      <c r="C150" s="197"/>
      <c r="D150" s="197"/>
      <c r="E150" s="197"/>
      <c r="F150" s="197"/>
      <c r="G150" s="197"/>
      <c r="H150" s="197"/>
      <c r="I150" s="197"/>
      <c r="J150" s="197"/>
      <c r="K150" s="197"/>
      <c r="L150" s="197"/>
      <c r="M150" s="197"/>
      <c r="N150" s="197"/>
      <c r="O150" s="198"/>
      <c r="P150" s="197"/>
      <c r="Q150" s="197"/>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row>
    <row r="151" spans="1:61" x14ac:dyDescent="0.2">
      <c r="A151" s="24"/>
      <c r="B151" s="195"/>
      <c r="C151" s="197"/>
      <c r="D151" s="197"/>
      <c r="E151" s="197"/>
      <c r="F151" s="197"/>
      <c r="G151" s="197"/>
      <c r="H151" s="197"/>
      <c r="I151" s="197"/>
      <c r="J151" s="197"/>
      <c r="K151" s="197"/>
      <c r="L151" s="197"/>
      <c r="M151" s="197"/>
      <c r="N151" s="197"/>
      <c r="O151" s="198"/>
      <c r="P151" s="197"/>
      <c r="Q151" s="197"/>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row>
    <row r="152" spans="1:61" x14ac:dyDescent="0.2">
      <c r="A152" s="24"/>
      <c r="B152" s="195"/>
      <c r="C152" s="197"/>
      <c r="D152" s="197"/>
      <c r="E152" s="197"/>
      <c r="F152" s="197"/>
      <c r="G152" s="197"/>
      <c r="H152" s="197"/>
      <c r="I152" s="197"/>
      <c r="J152" s="197"/>
      <c r="K152" s="197"/>
      <c r="L152" s="197"/>
      <c r="M152" s="197"/>
      <c r="N152" s="197"/>
      <c r="O152" s="198"/>
      <c r="P152" s="197"/>
      <c r="Q152" s="197"/>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row>
    <row r="153" spans="1:61" x14ac:dyDescent="0.2">
      <c r="A153" s="24"/>
      <c r="B153" s="195"/>
      <c r="C153" s="197"/>
      <c r="D153" s="197"/>
      <c r="E153" s="197"/>
      <c r="F153" s="197"/>
      <c r="G153" s="197"/>
      <c r="H153" s="197"/>
      <c r="I153" s="197"/>
      <c r="J153" s="197"/>
      <c r="K153" s="197"/>
      <c r="L153" s="197"/>
      <c r="M153" s="197"/>
      <c r="N153" s="197"/>
      <c r="O153" s="198"/>
      <c r="P153" s="197"/>
      <c r="Q153" s="197"/>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row>
    <row r="154" spans="1:61" x14ac:dyDescent="0.2">
      <c r="A154" s="24"/>
      <c r="B154" s="195"/>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row>
    <row r="155" spans="1:61" x14ac:dyDescent="0.2">
      <c r="A155" s="24"/>
      <c r="B155" s="195"/>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row>
    <row r="156" spans="1:61" x14ac:dyDescent="0.2">
      <c r="A156" s="24"/>
      <c r="B156" s="195"/>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row>
    <row r="157" spans="1:61" x14ac:dyDescent="0.2">
      <c r="A157" s="24"/>
      <c r="B157" s="195"/>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row>
    <row r="158" spans="1:61" x14ac:dyDescent="0.2">
      <c r="A158" s="24"/>
      <c r="B158" s="195"/>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row>
    <row r="159" spans="1:61" x14ac:dyDescent="0.2">
      <c r="A159" s="24"/>
      <c r="B159" s="195"/>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row>
    <row r="160" spans="1:61" x14ac:dyDescent="0.2">
      <c r="A160" s="24"/>
      <c r="B160" s="195"/>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row>
    <row r="161" spans="1:61" x14ac:dyDescent="0.2">
      <c r="A161" s="24"/>
      <c r="B161" s="19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row>
    <row r="162" spans="1:61" ht="10.5" x14ac:dyDescent="0.25">
      <c r="A162" s="24"/>
      <c r="B162" s="202"/>
      <c r="C162" s="31"/>
      <c r="D162" s="31"/>
      <c r="E162" s="31"/>
      <c r="F162" s="31"/>
      <c r="G162" s="31"/>
      <c r="H162" s="31"/>
      <c r="I162" s="31"/>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row>
    <row r="163" spans="1:61" x14ac:dyDescent="0.2">
      <c r="A163" s="24"/>
      <c r="B163" s="195"/>
      <c r="C163" s="198"/>
      <c r="D163" s="198"/>
      <c r="E163" s="197"/>
      <c r="F163" s="197"/>
      <c r="G163" s="197"/>
      <c r="H163" s="198"/>
      <c r="I163" s="197"/>
      <c r="J163" s="198"/>
      <c r="K163" s="197"/>
      <c r="L163" s="197"/>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row>
    <row r="164" spans="1:61" x14ac:dyDescent="0.2">
      <c r="A164" s="24"/>
      <c r="B164" s="195"/>
      <c r="C164" s="197"/>
      <c r="D164" s="197"/>
      <c r="E164" s="197"/>
      <c r="F164" s="198"/>
      <c r="G164" s="198"/>
      <c r="H164" s="197"/>
      <c r="I164" s="198"/>
      <c r="J164" s="197"/>
      <c r="K164" s="197"/>
      <c r="L164" s="197"/>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row>
    <row r="165" spans="1:61" x14ac:dyDescent="0.2">
      <c r="A165" s="24"/>
      <c r="B165" s="98"/>
      <c r="C165" s="198"/>
      <c r="D165" s="198"/>
      <c r="E165" s="198"/>
      <c r="F165" s="198"/>
      <c r="G165" s="198"/>
      <c r="H165" s="198"/>
      <c r="I165" s="197"/>
      <c r="J165" s="198"/>
      <c r="K165" s="197"/>
      <c r="L165" s="197"/>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row>
    <row r="166" spans="1:61" x14ac:dyDescent="0.2">
      <c r="A166" s="24"/>
      <c r="B166" s="98"/>
      <c r="C166" s="198"/>
      <c r="D166" s="198"/>
      <c r="E166" s="198"/>
      <c r="F166" s="198"/>
      <c r="G166" s="198"/>
      <c r="H166" s="197"/>
      <c r="I166" s="198"/>
      <c r="J166" s="197"/>
      <c r="K166" s="197"/>
      <c r="L166" s="197"/>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row>
    <row r="167" spans="1:61" x14ac:dyDescent="0.2">
      <c r="A167" s="24"/>
      <c r="B167" s="98"/>
      <c r="C167" s="197"/>
      <c r="D167" s="197"/>
      <c r="E167" s="197"/>
      <c r="F167" s="198"/>
      <c r="G167" s="198"/>
      <c r="H167" s="197"/>
      <c r="I167" s="198"/>
      <c r="J167" s="197"/>
      <c r="K167" s="197"/>
      <c r="L167" s="197"/>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row>
    <row r="168" spans="1:61" x14ac:dyDescent="0.2">
      <c r="A168" s="24"/>
      <c r="B168" s="98"/>
      <c r="C168" s="198"/>
      <c r="D168" s="198"/>
      <c r="E168" s="198"/>
      <c r="F168" s="198"/>
      <c r="G168" s="198"/>
      <c r="H168" s="197"/>
      <c r="I168" s="198"/>
      <c r="J168" s="197"/>
      <c r="K168" s="197"/>
      <c r="L168" s="197"/>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row>
    <row r="169" spans="1:61" x14ac:dyDescent="0.2">
      <c r="A169" s="24"/>
      <c r="B169" s="195"/>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row>
    <row r="170" spans="1:61" x14ac:dyDescent="0.2">
      <c r="A170" s="24"/>
      <c r="B170" s="195"/>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row>
    <row r="171" spans="1:61" ht="10.5" x14ac:dyDescent="0.25">
      <c r="A171" s="24"/>
      <c r="B171" s="202"/>
      <c r="C171" s="24"/>
      <c r="D171" s="31"/>
      <c r="E171" s="31"/>
      <c r="F171" s="31"/>
      <c r="G171" s="31"/>
      <c r="H171" s="31"/>
      <c r="I171" s="31"/>
      <c r="J171" s="31"/>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row>
    <row r="172" spans="1:61" x14ac:dyDescent="0.2">
      <c r="A172" s="24"/>
      <c r="B172" s="195"/>
      <c r="C172" s="197"/>
      <c r="D172" s="197"/>
      <c r="E172" s="197"/>
      <c r="F172" s="197"/>
      <c r="G172" s="197"/>
      <c r="H172" s="197"/>
      <c r="I172" s="197"/>
      <c r="J172" s="197"/>
      <c r="K172" s="197"/>
      <c r="L172" s="197"/>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row>
    <row r="173" spans="1:61" x14ac:dyDescent="0.2">
      <c r="A173" s="24"/>
      <c r="B173" s="195"/>
      <c r="C173" s="197"/>
      <c r="D173" s="197"/>
      <c r="E173" s="197"/>
      <c r="F173" s="197"/>
      <c r="G173" s="197"/>
      <c r="H173" s="197"/>
      <c r="I173" s="198"/>
      <c r="J173" s="198"/>
      <c r="K173" s="197"/>
      <c r="L173" s="197"/>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row>
    <row r="174" spans="1:61" x14ac:dyDescent="0.2">
      <c r="A174" s="24"/>
      <c r="B174" s="98"/>
      <c r="C174" s="197"/>
      <c r="D174" s="198"/>
      <c r="E174" s="198"/>
      <c r="F174" s="198"/>
      <c r="G174" s="198"/>
      <c r="H174" s="198"/>
      <c r="I174" s="198"/>
      <c r="J174" s="198"/>
      <c r="K174" s="198"/>
      <c r="L174" s="197"/>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row>
    <row r="175" spans="1:61" x14ac:dyDescent="0.2">
      <c r="A175" s="24"/>
      <c r="B175" s="98"/>
      <c r="C175" s="197"/>
      <c r="D175" s="198"/>
      <c r="E175" s="198"/>
      <c r="F175" s="198"/>
      <c r="G175" s="198"/>
      <c r="H175" s="198"/>
      <c r="I175" s="198"/>
      <c r="J175" s="198"/>
      <c r="K175" s="198"/>
      <c r="L175" s="197"/>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row>
    <row r="176" spans="1:61" x14ac:dyDescent="0.2">
      <c r="A176" s="24"/>
      <c r="B176" s="98"/>
      <c r="C176" s="197"/>
      <c r="D176" s="197"/>
      <c r="E176" s="197"/>
      <c r="F176" s="197"/>
      <c r="G176" s="197"/>
      <c r="H176" s="197"/>
      <c r="I176" s="198"/>
      <c r="J176" s="198"/>
      <c r="K176" s="197"/>
      <c r="L176" s="198"/>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row>
    <row r="177" spans="1:61" x14ac:dyDescent="0.2">
      <c r="A177" s="24"/>
      <c r="B177" s="98"/>
      <c r="C177" s="197"/>
      <c r="D177" s="198"/>
      <c r="E177" s="198"/>
      <c r="F177" s="198"/>
      <c r="G177" s="198"/>
      <c r="H177" s="198"/>
      <c r="I177" s="198"/>
      <c r="J177" s="198"/>
      <c r="K177" s="198"/>
      <c r="L177" s="198"/>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row>
    <row r="178" spans="1:61" x14ac:dyDescent="0.2">
      <c r="A178" s="24"/>
      <c r="B178" s="195"/>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row>
    <row r="179" spans="1:61" x14ac:dyDescent="0.2">
      <c r="A179" s="24"/>
      <c r="B179" s="195"/>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row>
    <row r="180" spans="1:61" x14ac:dyDescent="0.2">
      <c r="A180" s="24"/>
      <c r="B180" s="195"/>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row>
    <row r="181" spans="1:61" x14ac:dyDescent="0.2">
      <c r="B181" s="106"/>
    </row>
    <row r="182" spans="1:61" x14ac:dyDescent="0.2">
      <c r="B182" s="106"/>
    </row>
    <row r="183" spans="1:61" x14ac:dyDescent="0.2">
      <c r="B183" s="106"/>
    </row>
    <row r="184" spans="1:61" x14ac:dyDescent="0.2">
      <c r="B184" s="106"/>
    </row>
    <row r="185" spans="1:61" x14ac:dyDescent="0.2">
      <c r="B185" s="106"/>
    </row>
    <row r="186" spans="1:61" x14ac:dyDescent="0.2">
      <c r="B186" s="106"/>
    </row>
    <row r="187" spans="1:61" x14ac:dyDescent="0.2">
      <c r="B187" s="106"/>
    </row>
    <row r="188" spans="1:61" x14ac:dyDescent="0.2">
      <c r="B188" s="106"/>
    </row>
    <row r="189" spans="1:61" x14ac:dyDescent="0.2">
      <c r="B189" s="106"/>
    </row>
    <row r="190" spans="1:61" x14ac:dyDescent="0.2">
      <c r="B190" s="106"/>
    </row>
    <row r="191" spans="1:61" x14ac:dyDescent="0.2">
      <c r="B191" s="106"/>
    </row>
    <row r="192" spans="1:61" x14ac:dyDescent="0.2">
      <c r="B192" s="106"/>
    </row>
    <row r="193" spans="2:2" x14ac:dyDescent="0.2">
      <c r="B193" s="106"/>
    </row>
    <row r="194" spans="2:2" x14ac:dyDescent="0.2">
      <c r="B194" s="106"/>
    </row>
    <row r="195" spans="2:2" x14ac:dyDescent="0.2">
      <c r="B195" s="106"/>
    </row>
    <row r="196" spans="2:2" x14ac:dyDescent="0.2">
      <c r="B196" s="106"/>
    </row>
    <row r="197" spans="2:2" x14ac:dyDescent="0.2">
      <c r="B197" s="106"/>
    </row>
    <row r="198" spans="2:2" x14ac:dyDescent="0.2">
      <c r="B198" s="106"/>
    </row>
    <row r="199" spans="2:2" x14ac:dyDescent="0.2">
      <c r="B199" s="106"/>
    </row>
    <row r="200" spans="2:2" x14ac:dyDescent="0.2">
      <c r="B200" s="106"/>
    </row>
    <row r="201" spans="2:2" x14ac:dyDescent="0.2">
      <c r="B201" s="106"/>
    </row>
    <row r="202" spans="2:2" x14ac:dyDescent="0.2">
      <c r="B202" s="106"/>
    </row>
    <row r="203" spans="2:2" x14ac:dyDescent="0.2">
      <c r="B203" s="106"/>
    </row>
    <row r="204" spans="2:2" x14ac:dyDescent="0.2">
      <c r="B204" s="106"/>
    </row>
    <row r="205" spans="2:2" x14ac:dyDescent="0.2">
      <c r="B205" s="60"/>
    </row>
  </sheetData>
  <phoneticPr fontId="2" type="noConversion"/>
  <pageMargins left="0.78740157499999996" right="0.78740157499999996" top="0.984251969" bottom="0.984251969" header="0.4921259845" footer="0.4921259845"/>
  <pageSetup orientation="landscape"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Q204"/>
  <sheetViews>
    <sheetView workbookViewId="0">
      <selection activeCell="D2" sqref="D2"/>
    </sheetView>
  </sheetViews>
  <sheetFormatPr baseColWidth="10" defaultColWidth="11.453125" defaultRowHeight="10" x14ac:dyDescent="0.2"/>
  <cols>
    <col min="1" max="1" width="20.453125" style="1" customWidth="1"/>
    <col min="2" max="2" width="25.453125" style="1" bestFit="1" customWidth="1"/>
    <col min="3" max="3" width="28.7265625" style="1" bestFit="1" customWidth="1"/>
    <col min="4" max="4" width="17.1796875" style="1" bestFit="1" customWidth="1"/>
    <col min="5" max="6" width="16.81640625" style="1" bestFit="1" customWidth="1"/>
    <col min="7" max="7" width="18.453125" style="1" bestFit="1" customWidth="1"/>
    <col min="8" max="8" width="19.7265625" style="1" bestFit="1" customWidth="1"/>
    <col min="9" max="9" width="14.7265625" style="1" bestFit="1" customWidth="1"/>
    <col min="10" max="16384" width="11.453125" style="1"/>
  </cols>
  <sheetData>
    <row r="2" spans="1:199" x14ac:dyDescent="0.2">
      <c r="C2" s="5" t="s">
        <v>247</v>
      </c>
      <c r="D2" s="63">
        <f>COUNTA(C6:GQ6)</f>
        <v>7</v>
      </c>
      <c r="F2" s="5" t="s">
        <v>292</v>
      </c>
      <c r="G2" s="63" t="str">
        <f>"CT_APtoSTA!B7:B"&amp;D3+6</f>
        <v>CT_APtoSTA!B7:B18</v>
      </c>
    </row>
    <row r="3" spans="1:199" x14ac:dyDescent="0.2">
      <c r="C3" s="7" t="s">
        <v>250</v>
      </c>
      <c r="D3" s="69">
        <f>COUNTA(B7:B204)</f>
        <v>12</v>
      </c>
      <c r="F3" s="7" t="s">
        <v>297</v>
      </c>
      <c r="G3" s="69" t="str">
        <f>"CT_APtoSTA!C6:"&amp;INDEX(CT_HELP!$B$1:$B$200,$D$2+2)&amp;"6"</f>
        <v>CT_APtoSTA!C6:I6</v>
      </c>
    </row>
    <row r="4" spans="1:199" x14ac:dyDescent="0.2">
      <c r="B4" s="110" t="str">
        <f>"CT_APtoSTA!C5:"&amp;INDEX(CT_HELP!$B$1:$B$200,$D$2+2)&amp;"5"</f>
        <v>CT_APtoSTA!C5:I5</v>
      </c>
    </row>
    <row r="5" spans="1:199" x14ac:dyDescent="0.2">
      <c r="A5" s="110" t="str">
        <f>"CT_APtoSTA!A7:A"&amp;D3+6</f>
        <v>CT_APtoSTA!A7:A18</v>
      </c>
      <c r="C5" s="110" t="str">
        <f>"CT_APtoSTA!$"&amp;CT_HELP!F5&amp;"$7:"&amp;INDEX(CT_HELP!$B$1:$B$220,CT_HELP!F4)&amp;""&amp;SUM($D$3,6)</f>
        <v>CT_APtoSTA!$C$7:C18</v>
      </c>
      <c r="D5" s="110" t="str">
        <f>"CT_APtoSTA!$"&amp;CT_HELP!G5&amp;"7:"&amp;INDEX(CT_HELP!$B$1:$B$220,CT_HELP!G4)&amp;""&amp;SUM($D$3,6)</f>
        <v>CT_APtoSTA!$D7:D18</v>
      </c>
      <c r="E5" s="110" t="str">
        <f>"CT_APtoSTA!$"&amp;CT_HELP!H5&amp;"7:"&amp;INDEX(CT_HELP!$B$1:$B$220,CT_HELP!H4)&amp;""&amp;SUM($D$3,6)</f>
        <v>CT_APtoSTA!$E7:E18</v>
      </c>
      <c r="F5" s="110" t="str">
        <f>"CT_APtoSTA!$"&amp;CT_HELP!I5&amp;"7:"&amp;INDEX(CT_HELP!$B$1:$B$220,CT_HELP!I4)&amp;""&amp;SUM($D$3,6)</f>
        <v>CT_APtoSTA!$F7:F18</v>
      </c>
      <c r="G5" s="110" t="str">
        <f>"CT_APtoSTA!$"&amp;CT_HELP!J5&amp;"7:"&amp;INDEX(CT_HELP!$B$1:$B$220,CT_HELP!J4)&amp;""&amp;SUM($D$3,6)</f>
        <v>CT_APtoSTA!$G7:G18</v>
      </c>
      <c r="H5" s="110" t="str">
        <f>"CT_APtoSTA!$"&amp;CT_HELP!K5&amp;"7:"&amp;INDEX(CT_HELP!$B$1:$B$220,CT_HELP!K4)&amp;""&amp;SUM($D$3,6)</f>
        <v>CT_APtoSTA!$H7:H18</v>
      </c>
      <c r="I5" s="110" t="str">
        <f>"CT_APtoSTA!$"&amp;CT_HELP!L5&amp;"7:"&amp;INDEX(CT_HELP!$B$1:$B$220,CT_HELP!L4)&amp;""&amp;SUM($D$3,6)</f>
        <v>CT_APtoSTA!$I7:I18</v>
      </c>
    </row>
    <row r="6" spans="1:199" ht="10.5" x14ac:dyDescent="0.25">
      <c r="B6" s="209" t="s">
        <v>275</v>
      </c>
      <c r="C6" s="203" t="s">
        <v>24</v>
      </c>
      <c r="D6" s="201" t="s">
        <v>26</v>
      </c>
      <c r="E6" s="200" t="s">
        <v>114</v>
      </c>
      <c r="F6" s="200" t="s">
        <v>115</v>
      </c>
      <c r="G6" s="201" t="s">
        <v>219</v>
      </c>
      <c r="H6" s="201" t="s">
        <v>220</v>
      </c>
      <c r="I6" s="457" t="s">
        <v>504</v>
      </c>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3"/>
    </row>
    <row r="7" spans="1:199" x14ac:dyDescent="0.2">
      <c r="A7" s="110" t="str">
        <f>"CT_APtoSTA!$C$"&amp;CT_HELP!A7&amp;":"&amp;INDEX(CT_HELP!$B$1:$B$200,$D$2+2)&amp;""&amp;CT_HELP!A7</f>
        <v>CT_APtoSTA!$C$7:I7</v>
      </c>
      <c r="B7" s="415" t="s">
        <v>674</v>
      </c>
      <c r="C7" s="77" t="b">
        <v>1</v>
      </c>
      <c r="D7" s="77" t="b">
        <v>1</v>
      </c>
      <c r="E7" s="77" t="b">
        <v>1</v>
      </c>
      <c r="F7" s="77" t="b">
        <v>1</v>
      </c>
      <c r="G7" s="161" t="b">
        <v>0</v>
      </c>
      <c r="H7" s="161" t="b">
        <v>0</v>
      </c>
      <c r="I7" s="77" t="b">
        <v>1</v>
      </c>
    </row>
    <row r="8" spans="1:199" x14ac:dyDescent="0.2">
      <c r="A8" s="110" t="str">
        <f>"CT_APtoSTA!$C$"&amp;CT_HELP!A8&amp;":"&amp;INDEX(CT_HELP!$B$1:$B$200,$D$2+2)&amp;""&amp;CT_HELP!A8</f>
        <v>CT_APtoSTA!$C$8:I8</v>
      </c>
      <c r="B8" s="415" t="s">
        <v>678</v>
      </c>
      <c r="C8" s="77" t="b">
        <v>1</v>
      </c>
      <c r="D8" s="77" t="b">
        <v>1</v>
      </c>
      <c r="E8" s="77" t="b">
        <v>1</v>
      </c>
      <c r="F8" s="77" t="b">
        <v>1</v>
      </c>
      <c r="G8" s="161" t="b">
        <v>0</v>
      </c>
      <c r="H8" s="161" t="b">
        <v>0</v>
      </c>
      <c r="I8" s="77" t="b">
        <v>1</v>
      </c>
    </row>
    <row r="9" spans="1:199" x14ac:dyDescent="0.2">
      <c r="A9" s="110" t="str">
        <f>"CT_APtoSTA!$C$"&amp;CT_HELP!A9&amp;":"&amp;INDEX(CT_HELP!$B$1:$B$200,$D$2+2)&amp;""&amp;CT_HELP!A9</f>
        <v>CT_APtoSTA!$C$9:I9</v>
      </c>
      <c r="B9" s="415" t="s">
        <v>502</v>
      </c>
      <c r="C9" s="77" t="b">
        <v>1</v>
      </c>
      <c r="D9" s="77" t="b">
        <v>1</v>
      </c>
      <c r="E9" s="77" t="b">
        <v>1</v>
      </c>
      <c r="F9" s="77" t="b">
        <v>1</v>
      </c>
      <c r="G9" s="161" t="b">
        <v>0</v>
      </c>
      <c r="H9" s="161" t="b">
        <v>0</v>
      </c>
      <c r="I9" s="77" t="b">
        <v>1</v>
      </c>
    </row>
    <row r="10" spans="1:199" x14ac:dyDescent="0.2">
      <c r="A10" s="110" t="str">
        <f>"CT_APtoSTA!$C$"&amp;CT_HELP!A10&amp;":"&amp;INDEX(CT_HELP!$B$1:$B$200,$D$2+2)&amp;""&amp;CT_HELP!A10</f>
        <v>CT_APtoSTA!$C$10:I10</v>
      </c>
      <c r="B10" s="415" t="s">
        <v>501</v>
      </c>
      <c r="C10" s="77" t="b">
        <v>1</v>
      </c>
      <c r="D10" s="77" t="b">
        <v>1</v>
      </c>
      <c r="E10" s="77" t="b">
        <v>1</v>
      </c>
      <c r="F10" s="77" t="b">
        <v>1</v>
      </c>
      <c r="G10" s="161" t="b">
        <v>0</v>
      </c>
      <c r="H10" s="161" t="b">
        <v>0</v>
      </c>
      <c r="I10" s="77" t="b">
        <v>1</v>
      </c>
    </row>
    <row r="11" spans="1:199" x14ac:dyDescent="0.2">
      <c r="A11" s="110" t="str">
        <f>"CT_APtoSTA!$C$"&amp;CT_HELP!A11&amp;":"&amp;INDEX(CT_HELP!$B$1:$B$200,$D$2+2)&amp;""&amp;CT_HELP!A11</f>
        <v>CT_APtoSTA!$C$11:I11</v>
      </c>
      <c r="B11" s="415" t="s">
        <v>503</v>
      </c>
      <c r="C11" s="77" t="b">
        <v>1</v>
      </c>
      <c r="D11" s="77" t="b">
        <v>1</v>
      </c>
      <c r="E11" s="77" t="b">
        <v>1</v>
      </c>
      <c r="F11" s="77" t="b">
        <v>1</v>
      </c>
      <c r="G11" s="161" t="b">
        <v>0</v>
      </c>
      <c r="H11" s="161" t="b">
        <v>0</v>
      </c>
      <c r="I11" s="77" t="b">
        <v>1</v>
      </c>
    </row>
    <row r="12" spans="1:199" x14ac:dyDescent="0.2">
      <c r="A12" s="110" t="str">
        <f>"CT_APtoSTA!$C$"&amp;CT_HELP!A12&amp;":"&amp;INDEX(CT_HELP!$B$1:$B$200,$D$2+2)&amp;""&amp;CT_HELP!A12</f>
        <v>CT_APtoSTA!$C$12:I12</v>
      </c>
      <c r="B12" s="97" t="s">
        <v>677</v>
      </c>
      <c r="C12" s="77" t="b">
        <v>1</v>
      </c>
      <c r="D12" s="77" t="b">
        <v>1</v>
      </c>
      <c r="E12" s="77" t="b">
        <v>1</v>
      </c>
      <c r="F12" s="77" t="b">
        <v>1</v>
      </c>
      <c r="G12" s="161" t="b">
        <v>0</v>
      </c>
      <c r="H12" s="161" t="b">
        <v>0</v>
      </c>
      <c r="I12" s="77" t="b">
        <v>1</v>
      </c>
    </row>
    <row r="13" spans="1:199" x14ac:dyDescent="0.2">
      <c r="A13" s="110" t="str">
        <f>"CT_APtoSTA!$C$"&amp;CT_HELP!A13&amp;":"&amp;INDEX(CT_HELP!$B$1:$B$200,$D$2+2)&amp;""&amp;CT_HELP!A13</f>
        <v>CT_APtoSTA!$C$13:I13</v>
      </c>
      <c r="B13" s="415" t="s">
        <v>505</v>
      </c>
      <c r="C13" s="77" t="b">
        <v>1</v>
      </c>
      <c r="D13" s="77" t="b">
        <v>1</v>
      </c>
      <c r="E13" s="77" t="b">
        <v>1</v>
      </c>
      <c r="F13" s="77" t="b">
        <v>1</v>
      </c>
      <c r="G13" s="161" t="b">
        <v>0</v>
      </c>
      <c r="H13" s="161" t="b">
        <v>0</v>
      </c>
      <c r="I13" s="77" t="b">
        <v>1</v>
      </c>
    </row>
    <row r="14" spans="1:199" x14ac:dyDescent="0.2">
      <c r="A14" s="110" t="str">
        <f>"CT_APtoSTA!$C$"&amp;CT_HELP!A14&amp;":"&amp;INDEX(CT_HELP!$B$1:$B$200,$D$2+2)&amp;""&amp;CT_HELP!A14</f>
        <v>CT_APtoSTA!$C$14:I14</v>
      </c>
      <c r="B14" s="97" t="s">
        <v>605</v>
      </c>
      <c r="C14" s="77" t="b">
        <v>1</v>
      </c>
      <c r="D14" s="77" t="b">
        <v>1</v>
      </c>
      <c r="E14" s="77" t="b">
        <v>1</v>
      </c>
      <c r="F14" s="77" t="b">
        <v>1</v>
      </c>
      <c r="G14" s="161" t="b">
        <v>0</v>
      </c>
      <c r="H14" s="161" t="b">
        <v>0</v>
      </c>
      <c r="I14" s="77" t="b">
        <v>1</v>
      </c>
    </row>
    <row r="15" spans="1:199" x14ac:dyDescent="0.2">
      <c r="A15" s="110" t="str">
        <f>"CT_APtoSTA!$C$"&amp;CT_HELP!A15&amp;":"&amp;INDEX(CT_HELP!$B$1:$B$200,$D$2+2)&amp;""&amp;CT_HELP!A15</f>
        <v>CT_APtoSTA!$C$15:I15</v>
      </c>
      <c r="B15" s="195" t="s">
        <v>406</v>
      </c>
      <c r="C15" s="77" t="b">
        <v>1</v>
      </c>
      <c r="D15" s="77" t="b">
        <v>1</v>
      </c>
      <c r="E15" s="77" t="b">
        <v>1</v>
      </c>
      <c r="F15" s="77" t="b">
        <v>1</v>
      </c>
      <c r="G15" s="161" t="b">
        <v>0</v>
      </c>
      <c r="H15" s="161" t="b">
        <v>0</v>
      </c>
      <c r="I15" s="161" t="b">
        <v>0</v>
      </c>
    </row>
    <row r="16" spans="1:199" x14ac:dyDescent="0.2">
      <c r="A16" s="110" t="str">
        <f>"CT_APtoSTA!$C$"&amp;CT_HELP!A16&amp;":"&amp;INDEX(CT_HELP!$B$1:$B$200,$D$2+2)&amp;""&amp;CT_HELP!A16</f>
        <v>CT_APtoSTA!$C$16:I16</v>
      </c>
      <c r="B16" s="195" t="s">
        <v>405</v>
      </c>
      <c r="C16" s="77" t="b">
        <v>1</v>
      </c>
      <c r="D16" s="77" t="b">
        <v>1</v>
      </c>
      <c r="E16" s="77" t="b">
        <v>1</v>
      </c>
      <c r="F16" s="77" t="b">
        <v>1</v>
      </c>
      <c r="G16" s="161" t="b">
        <v>0</v>
      </c>
      <c r="H16" s="161" t="b">
        <v>0</v>
      </c>
      <c r="I16" s="161" t="b">
        <v>0</v>
      </c>
    </row>
    <row r="17" spans="1:9" x14ac:dyDescent="0.2">
      <c r="A17" s="110" t="str">
        <f>"CT_APtoSTA!$C$"&amp;CT_HELP!A17&amp;":"&amp;INDEX(CT_HELP!$B$1:$B$200,$D$2+2)&amp;""&amp;CT_HELP!A17</f>
        <v>CT_APtoSTA!$C$17:I17</v>
      </c>
      <c r="B17" s="97" t="s">
        <v>607</v>
      </c>
      <c r="C17" s="77" t="b">
        <v>1</v>
      </c>
      <c r="D17" s="77" t="b">
        <v>1</v>
      </c>
      <c r="E17" s="77" t="b">
        <v>1</v>
      </c>
      <c r="F17" s="77" t="b">
        <v>1</v>
      </c>
      <c r="G17" s="161" t="b">
        <v>0</v>
      </c>
      <c r="H17" s="161" t="b">
        <v>0</v>
      </c>
      <c r="I17" s="77" t="b">
        <v>1</v>
      </c>
    </row>
    <row r="18" spans="1:9" x14ac:dyDescent="0.2">
      <c r="A18" s="110" t="str">
        <f>"CT_APtoSTA!$C$"&amp;CT_HELP!A18&amp;":"&amp;INDEX(CT_HELP!$B$1:$B$200,$D$2+2)&amp;""&amp;CT_HELP!A18</f>
        <v>CT_APtoSTA!$C$18:I18</v>
      </c>
      <c r="B18" s="97" t="s">
        <v>606</v>
      </c>
      <c r="C18" s="77" t="b">
        <v>1</v>
      </c>
      <c r="D18" s="77" t="b">
        <v>1</v>
      </c>
      <c r="E18" s="77" t="b">
        <v>1</v>
      </c>
      <c r="F18" s="77" t="b">
        <v>1</v>
      </c>
      <c r="G18" s="161" t="b">
        <v>0</v>
      </c>
      <c r="H18" s="161" t="b">
        <v>0</v>
      </c>
      <c r="I18" s="77" t="b">
        <v>1</v>
      </c>
    </row>
    <row r="19" spans="1:9" x14ac:dyDescent="0.2">
      <c r="A19" s="110"/>
      <c r="B19" s="97"/>
      <c r="C19" s="77"/>
      <c r="D19" s="77"/>
      <c r="E19" s="197"/>
      <c r="F19" s="197"/>
      <c r="G19" s="161"/>
      <c r="H19" s="77"/>
      <c r="I19" s="161"/>
    </row>
    <row r="20" spans="1:9" x14ac:dyDescent="0.2">
      <c r="A20" s="110"/>
      <c r="B20" s="97"/>
      <c r="C20" s="77"/>
      <c r="D20" s="77"/>
      <c r="E20" s="161"/>
      <c r="F20" s="161"/>
      <c r="G20" s="161"/>
      <c r="H20" s="161"/>
      <c r="I20" s="161"/>
    </row>
    <row r="21" spans="1:9" x14ac:dyDescent="0.2">
      <c r="A21" s="110"/>
      <c r="B21" s="97"/>
      <c r="C21" s="77"/>
      <c r="D21" s="77"/>
      <c r="E21" s="161"/>
      <c r="F21" s="161"/>
      <c r="G21" s="161"/>
      <c r="H21" s="161"/>
      <c r="I21" s="161"/>
    </row>
    <row r="22" spans="1:9" x14ac:dyDescent="0.2">
      <c r="A22" s="110"/>
      <c r="B22" s="97"/>
      <c r="C22" s="77"/>
      <c r="D22" s="77"/>
      <c r="E22" s="161"/>
      <c r="F22" s="161"/>
      <c r="G22" s="161"/>
      <c r="H22" s="161"/>
      <c r="I22" s="161"/>
    </row>
    <row r="23" spans="1:9" x14ac:dyDescent="0.2">
      <c r="A23" s="110"/>
      <c r="B23" s="97"/>
      <c r="C23" s="77"/>
      <c r="D23" s="77"/>
      <c r="E23" s="77"/>
      <c r="F23" s="77"/>
      <c r="G23" s="161"/>
      <c r="H23" s="161"/>
      <c r="I23" s="161"/>
    </row>
    <row r="24" spans="1:9" x14ac:dyDescent="0.2">
      <c r="A24" s="110"/>
      <c r="B24" s="97"/>
      <c r="C24" s="77"/>
      <c r="D24" s="77"/>
      <c r="E24" s="161"/>
      <c r="F24" s="161"/>
      <c r="G24" s="161"/>
      <c r="H24" s="161"/>
      <c r="I24" s="161"/>
    </row>
    <row r="25" spans="1:9" x14ac:dyDescent="0.2">
      <c r="A25" s="110"/>
      <c r="B25" s="97"/>
      <c r="C25" s="77"/>
      <c r="D25" s="77"/>
      <c r="E25" s="161"/>
      <c r="F25" s="161"/>
      <c r="G25" s="161"/>
      <c r="H25" s="161"/>
      <c r="I25" s="161"/>
    </row>
    <row r="26" spans="1:9" x14ac:dyDescent="0.2">
      <c r="A26" s="110"/>
      <c r="B26" s="195"/>
      <c r="C26" s="77"/>
      <c r="D26" s="77"/>
      <c r="E26" s="161"/>
      <c r="F26" s="161"/>
      <c r="G26" s="161"/>
      <c r="H26" s="161"/>
      <c r="I26" s="161"/>
    </row>
    <row r="27" spans="1:9" x14ac:dyDescent="0.2">
      <c r="A27" s="110"/>
      <c r="B27" s="97"/>
      <c r="C27" s="77"/>
      <c r="D27" s="77"/>
      <c r="E27" s="161"/>
      <c r="F27" s="161"/>
      <c r="G27" s="161"/>
      <c r="H27" s="161"/>
      <c r="I27" s="161"/>
    </row>
    <row r="28" spans="1:9" x14ac:dyDescent="0.2">
      <c r="A28" s="110"/>
      <c r="B28" s="195"/>
      <c r="C28" s="77"/>
      <c r="D28" s="77"/>
      <c r="E28" s="161"/>
      <c r="F28" s="161"/>
      <c r="G28" s="161"/>
      <c r="H28" s="161"/>
      <c r="I28" s="161"/>
    </row>
    <row r="29" spans="1:9" x14ac:dyDescent="0.2">
      <c r="A29" s="110"/>
      <c r="B29" s="106"/>
      <c r="C29" s="77"/>
      <c r="D29" s="77"/>
      <c r="E29" s="77"/>
      <c r="F29" s="77"/>
      <c r="G29" s="161"/>
      <c r="H29" s="161"/>
      <c r="I29" s="161"/>
    </row>
    <row r="30" spans="1:9" x14ac:dyDescent="0.2">
      <c r="A30" s="110"/>
      <c r="B30" s="106"/>
      <c r="C30" s="77"/>
      <c r="D30" s="77"/>
      <c r="E30" s="77"/>
      <c r="F30" s="77"/>
      <c r="G30" s="161"/>
      <c r="H30" s="161"/>
      <c r="I30" s="161"/>
    </row>
    <row r="31" spans="1:9" x14ac:dyDescent="0.2">
      <c r="A31" s="110"/>
      <c r="B31" s="106"/>
      <c r="C31" s="77"/>
      <c r="D31" s="77"/>
      <c r="E31" s="77"/>
      <c r="F31" s="77"/>
      <c r="G31" s="161"/>
      <c r="H31" s="161"/>
      <c r="I31" s="161"/>
    </row>
    <row r="32" spans="1:9" x14ac:dyDescent="0.2">
      <c r="A32" s="110"/>
      <c r="B32" s="106"/>
      <c r="C32" s="77"/>
      <c r="D32" s="77"/>
      <c r="E32" s="77"/>
      <c r="F32" s="77"/>
      <c r="G32" s="77"/>
      <c r="H32" s="77"/>
      <c r="I32" s="161"/>
    </row>
    <row r="33" spans="1:9" x14ac:dyDescent="0.2">
      <c r="A33" s="110"/>
      <c r="B33" s="106"/>
      <c r="C33" s="77"/>
      <c r="D33" s="77"/>
      <c r="E33" s="77"/>
      <c r="F33" s="77"/>
      <c r="G33" s="77"/>
      <c r="H33" s="77"/>
      <c r="I33" s="161"/>
    </row>
    <row r="34" spans="1:9" x14ac:dyDescent="0.2">
      <c r="A34" s="110"/>
      <c r="B34" s="195"/>
      <c r="C34" s="77"/>
      <c r="D34" s="77"/>
      <c r="E34" s="77"/>
      <c r="F34" s="77"/>
      <c r="G34" s="77"/>
      <c r="H34" s="77"/>
      <c r="I34" s="161"/>
    </row>
    <row r="35" spans="1:9" x14ac:dyDescent="0.2">
      <c r="A35" s="110"/>
      <c r="B35" s="195"/>
      <c r="C35" s="77"/>
      <c r="D35" s="77"/>
      <c r="E35" s="77"/>
      <c r="F35" s="77"/>
      <c r="G35" s="77"/>
      <c r="H35" s="77"/>
      <c r="I35" s="161"/>
    </row>
    <row r="36" spans="1:9" x14ac:dyDescent="0.2">
      <c r="A36" s="110"/>
      <c r="B36" s="195"/>
      <c r="C36" s="77"/>
      <c r="D36" s="77"/>
      <c r="E36" s="77"/>
      <c r="F36" s="77"/>
      <c r="G36" s="161"/>
      <c r="H36" s="161"/>
      <c r="I36" s="161"/>
    </row>
    <row r="37" spans="1:9" x14ac:dyDescent="0.2">
      <c r="A37" s="110"/>
      <c r="B37" s="195"/>
      <c r="C37" s="77"/>
      <c r="D37" s="77"/>
      <c r="E37" s="77"/>
      <c r="F37" s="77"/>
      <c r="G37" s="161"/>
      <c r="H37" s="161"/>
      <c r="I37" s="161"/>
    </row>
    <row r="38" spans="1:9" x14ac:dyDescent="0.2">
      <c r="A38" s="110"/>
      <c r="B38" s="195"/>
      <c r="C38" s="77"/>
      <c r="D38" s="77"/>
      <c r="E38" s="77"/>
      <c r="F38" s="77"/>
      <c r="G38" s="161"/>
      <c r="H38" s="161"/>
      <c r="I38" s="161"/>
    </row>
    <row r="39" spans="1:9" x14ac:dyDescent="0.2">
      <c r="A39" s="110"/>
      <c r="B39" s="195"/>
      <c r="C39" s="77"/>
      <c r="D39" s="77"/>
      <c r="E39" s="77"/>
      <c r="F39" s="77"/>
      <c r="G39" s="161"/>
      <c r="H39" s="161"/>
      <c r="I39" s="161"/>
    </row>
    <row r="40" spans="1:9" x14ac:dyDescent="0.2">
      <c r="A40" s="110"/>
      <c r="B40" s="195"/>
      <c r="C40" s="77"/>
      <c r="D40" s="77"/>
      <c r="E40" s="77"/>
      <c r="F40" s="77"/>
      <c r="G40" s="161"/>
      <c r="H40" s="161"/>
      <c r="I40" s="161"/>
    </row>
    <row r="41" spans="1:9" x14ac:dyDescent="0.2">
      <c r="A41" s="110"/>
      <c r="B41" s="415"/>
      <c r="C41" s="77"/>
      <c r="D41" s="77"/>
      <c r="E41" s="77"/>
      <c r="F41" s="77"/>
      <c r="G41" s="161"/>
      <c r="H41" s="161"/>
      <c r="I41" s="77"/>
    </row>
    <row r="42" spans="1:9" x14ac:dyDescent="0.2">
      <c r="A42" s="110"/>
      <c r="B42" s="415"/>
      <c r="C42" s="77"/>
      <c r="D42" s="77"/>
      <c r="E42" s="77"/>
      <c r="F42" s="77"/>
      <c r="G42" s="77"/>
      <c r="H42" s="77"/>
      <c r="I42" s="161"/>
    </row>
    <row r="43" spans="1:9" x14ac:dyDescent="0.2">
      <c r="A43" s="110"/>
      <c r="B43" s="415"/>
      <c r="C43" s="77"/>
      <c r="D43" s="77"/>
      <c r="E43" s="77"/>
      <c r="F43" s="77"/>
      <c r="G43" s="161"/>
      <c r="H43" s="161"/>
      <c r="I43" s="161"/>
    </row>
    <row r="44" spans="1:9" x14ac:dyDescent="0.2">
      <c r="A44" s="110"/>
      <c r="B44" s="415"/>
      <c r="C44" s="77"/>
      <c r="D44" s="77"/>
      <c r="E44" s="77"/>
      <c r="F44" s="77"/>
      <c r="G44" s="77"/>
      <c r="H44" s="77"/>
      <c r="I44" s="161"/>
    </row>
    <row r="45" spans="1:9" x14ac:dyDescent="0.2">
      <c r="A45" s="110"/>
      <c r="B45" s="415"/>
      <c r="C45" s="77"/>
      <c r="D45" s="77"/>
      <c r="E45" s="77"/>
      <c r="F45" s="77"/>
      <c r="G45" s="161"/>
      <c r="H45" s="161"/>
      <c r="I45" s="77"/>
    </row>
    <row r="46" spans="1:9" x14ac:dyDescent="0.2">
      <c r="A46" s="110"/>
      <c r="B46" s="415"/>
      <c r="C46" s="77"/>
      <c r="D46" s="77"/>
      <c r="E46" s="77"/>
      <c r="F46" s="77"/>
      <c r="G46" s="161"/>
      <c r="H46" s="161"/>
      <c r="I46" s="77"/>
    </row>
    <row r="47" spans="1:9" x14ac:dyDescent="0.2">
      <c r="A47" s="110"/>
      <c r="B47" s="415"/>
      <c r="C47" s="77"/>
      <c r="D47" s="77"/>
      <c r="E47" s="77"/>
      <c r="F47" s="77"/>
      <c r="G47" s="161"/>
      <c r="H47" s="161"/>
      <c r="I47" s="77"/>
    </row>
    <row r="48" spans="1:9" x14ac:dyDescent="0.2">
      <c r="A48" s="110"/>
      <c r="B48" s="415"/>
      <c r="C48" s="77"/>
      <c r="D48" s="77"/>
      <c r="E48" s="77"/>
      <c r="F48" s="77"/>
      <c r="G48" s="161"/>
      <c r="H48" s="161"/>
      <c r="I48" s="161"/>
    </row>
    <row r="49" spans="1:9" x14ac:dyDescent="0.2">
      <c r="A49" s="110"/>
      <c r="B49" s="415"/>
      <c r="C49" s="77"/>
      <c r="D49" s="77"/>
      <c r="E49" s="77"/>
      <c r="F49" s="77"/>
      <c r="G49" s="161"/>
      <c r="H49" s="161"/>
      <c r="I49" s="77"/>
    </row>
    <row r="50" spans="1:9" x14ac:dyDescent="0.2">
      <c r="A50" s="110"/>
      <c r="B50" s="106"/>
      <c r="C50" s="77"/>
      <c r="D50" s="77"/>
      <c r="E50" s="77"/>
      <c r="F50" s="77"/>
      <c r="G50" s="161"/>
      <c r="H50" s="161"/>
      <c r="I50" s="77"/>
    </row>
    <row r="51" spans="1:9" x14ac:dyDescent="0.2">
      <c r="A51" s="110"/>
      <c r="B51" s="106"/>
      <c r="C51" s="77"/>
      <c r="D51" s="77"/>
      <c r="E51" s="77"/>
      <c r="F51" s="77"/>
      <c r="G51" s="161"/>
      <c r="H51" s="161"/>
      <c r="I51" s="77"/>
    </row>
    <row r="52" spans="1:9" x14ac:dyDescent="0.2">
      <c r="A52" s="110"/>
      <c r="B52" s="106"/>
      <c r="C52" s="77"/>
      <c r="D52" s="77"/>
      <c r="E52" s="77"/>
      <c r="F52" s="77"/>
      <c r="G52" s="161"/>
      <c r="H52" s="161"/>
      <c r="I52" s="77"/>
    </row>
    <row r="53" spans="1:9" x14ac:dyDescent="0.2">
      <c r="A53" s="110"/>
      <c r="B53" s="106"/>
      <c r="C53" s="77"/>
      <c r="D53" s="77"/>
      <c r="E53" s="77"/>
      <c r="F53" s="77"/>
      <c r="G53" s="161"/>
      <c r="H53" s="161"/>
      <c r="I53" s="77"/>
    </row>
    <row r="54" spans="1:9" x14ac:dyDescent="0.2">
      <c r="A54" s="110"/>
      <c r="B54" s="106"/>
      <c r="C54" s="77"/>
      <c r="D54" s="77"/>
      <c r="E54" s="77"/>
      <c r="F54" s="77"/>
      <c r="G54" s="161"/>
      <c r="H54" s="161"/>
      <c r="I54" s="77"/>
    </row>
    <row r="55" spans="1:9" x14ac:dyDescent="0.2">
      <c r="A55" s="110"/>
      <c r="B55" s="415"/>
      <c r="C55" s="77"/>
      <c r="D55" s="77"/>
      <c r="E55" s="77"/>
      <c r="F55" s="77"/>
      <c r="G55" s="161"/>
      <c r="H55" s="161"/>
      <c r="I55" s="77"/>
    </row>
    <row r="56" spans="1:9" x14ac:dyDescent="0.2">
      <c r="B56" s="106"/>
    </row>
    <row r="57" spans="1:9" x14ac:dyDescent="0.2">
      <c r="B57" s="106"/>
    </row>
    <row r="58" spans="1:9" x14ac:dyDescent="0.2">
      <c r="B58" s="106"/>
    </row>
    <row r="59" spans="1:9" x14ac:dyDescent="0.2">
      <c r="B59" s="106"/>
    </row>
    <row r="60" spans="1:9" x14ac:dyDescent="0.2">
      <c r="B60" s="106"/>
    </row>
    <row r="61" spans="1:9" x14ac:dyDescent="0.2">
      <c r="B61" s="106"/>
    </row>
    <row r="62" spans="1:9" x14ac:dyDescent="0.2">
      <c r="B62" s="106"/>
    </row>
    <row r="63" spans="1:9" x14ac:dyDescent="0.2">
      <c r="B63" s="106"/>
    </row>
    <row r="64" spans="1:9" x14ac:dyDescent="0.2">
      <c r="B64" s="106"/>
    </row>
    <row r="65" spans="2:2" x14ac:dyDescent="0.2">
      <c r="B65" s="106"/>
    </row>
    <row r="66" spans="2:2" x14ac:dyDescent="0.2">
      <c r="B66" s="106"/>
    </row>
    <row r="67" spans="2:2" x14ac:dyDescent="0.2">
      <c r="B67" s="106"/>
    </row>
    <row r="68" spans="2:2" x14ac:dyDescent="0.2">
      <c r="B68" s="106"/>
    </row>
    <row r="69" spans="2:2" x14ac:dyDescent="0.2">
      <c r="B69" s="106"/>
    </row>
    <row r="70" spans="2:2" x14ac:dyDescent="0.2">
      <c r="B70" s="106"/>
    </row>
    <row r="71" spans="2:2" x14ac:dyDescent="0.2">
      <c r="B71" s="106"/>
    </row>
    <row r="72" spans="2:2" x14ac:dyDescent="0.2">
      <c r="B72" s="106"/>
    </row>
    <row r="73" spans="2:2" x14ac:dyDescent="0.2">
      <c r="B73" s="106"/>
    </row>
    <row r="74" spans="2:2" x14ac:dyDescent="0.2">
      <c r="B74" s="106"/>
    </row>
    <row r="75" spans="2:2" x14ac:dyDescent="0.2">
      <c r="B75" s="106"/>
    </row>
    <row r="76" spans="2:2" x14ac:dyDescent="0.2">
      <c r="B76" s="106"/>
    </row>
    <row r="77" spans="2:2" x14ac:dyDescent="0.2">
      <c r="B77" s="106"/>
    </row>
    <row r="78" spans="2:2" x14ac:dyDescent="0.2">
      <c r="B78" s="106"/>
    </row>
    <row r="79" spans="2:2" x14ac:dyDescent="0.2">
      <c r="B79" s="106"/>
    </row>
    <row r="80" spans="2:2" x14ac:dyDescent="0.2">
      <c r="B80" s="106"/>
    </row>
    <row r="81" spans="2:2" x14ac:dyDescent="0.2">
      <c r="B81" s="106"/>
    </row>
    <row r="82" spans="2:2" x14ac:dyDescent="0.2">
      <c r="B82" s="106"/>
    </row>
    <row r="83" spans="2:2" x14ac:dyDescent="0.2">
      <c r="B83" s="106"/>
    </row>
    <row r="84" spans="2:2" x14ac:dyDescent="0.2">
      <c r="B84" s="106"/>
    </row>
    <row r="85" spans="2:2" x14ac:dyDescent="0.2">
      <c r="B85" s="106"/>
    </row>
    <row r="86" spans="2:2" x14ac:dyDescent="0.2">
      <c r="B86" s="106"/>
    </row>
    <row r="87" spans="2:2" x14ac:dyDescent="0.2">
      <c r="B87" s="106"/>
    </row>
    <row r="88" spans="2:2" x14ac:dyDescent="0.2">
      <c r="B88" s="106"/>
    </row>
    <row r="89" spans="2:2" x14ac:dyDescent="0.2">
      <c r="B89" s="106"/>
    </row>
    <row r="90" spans="2:2" x14ac:dyDescent="0.2">
      <c r="B90" s="106"/>
    </row>
    <row r="91" spans="2:2" x14ac:dyDescent="0.2">
      <c r="B91" s="106"/>
    </row>
    <row r="92" spans="2:2" x14ac:dyDescent="0.2">
      <c r="B92" s="106"/>
    </row>
    <row r="93" spans="2:2" x14ac:dyDescent="0.2">
      <c r="B93" s="106"/>
    </row>
    <row r="94" spans="2:2" x14ac:dyDescent="0.2">
      <c r="B94" s="106"/>
    </row>
    <row r="95" spans="2:2" x14ac:dyDescent="0.2">
      <c r="B95" s="106"/>
    </row>
    <row r="96" spans="2:2" x14ac:dyDescent="0.2">
      <c r="B96" s="106"/>
    </row>
    <row r="97" spans="2:2" x14ac:dyDescent="0.2">
      <c r="B97" s="106"/>
    </row>
    <row r="98" spans="2:2" x14ac:dyDescent="0.2">
      <c r="B98" s="106"/>
    </row>
    <row r="99" spans="2:2" x14ac:dyDescent="0.2">
      <c r="B99" s="106"/>
    </row>
    <row r="100" spans="2:2" x14ac:dyDescent="0.2">
      <c r="B100" s="106"/>
    </row>
    <row r="101" spans="2:2" x14ac:dyDescent="0.2">
      <c r="B101" s="106"/>
    </row>
    <row r="102" spans="2:2" x14ac:dyDescent="0.2">
      <c r="B102" s="106"/>
    </row>
    <row r="103" spans="2:2" x14ac:dyDescent="0.2">
      <c r="B103" s="106"/>
    </row>
    <row r="104" spans="2:2" x14ac:dyDescent="0.2">
      <c r="B104" s="106"/>
    </row>
    <row r="105" spans="2:2" x14ac:dyDescent="0.2">
      <c r="B105" s="106"/>
    </row>
    <row r="106" spans="2:2" x14ac:dyDescent="0.2">
      <c r="B106" s="106"/>
    </row>
    <row r="107" spans="2:2" x14ac:dyDescent="0.2">
      <c r="B107" s="106"/>
    </row>
    <row r="108" spans="2:2" x14ac:dyDescent="0.2">
      <c r="B108" s="106"/>
    </row>
    <row r="109" spans="2:2" x14ac:dyDescent="0.2">
      <c r="B109" s="106"/>
    </row>
    <row r="110" spans="2:2" x14ac:dyDescent="0.2">
      <c r="B110" s="106"/>
    </row>
    <row r="111" spans="2:2" x14ac:dyDescent="0.2">
      <c r="B111" s="106"/>
    </row>
    <row r="112" spans="2:2" x14ac:dyDescent="0.2">
      <c r="B112" s="106"/>
    </row>
    <row r="113" spans="2:2" x14ac:dyDescent="0.2">
      <c r="B113" s="106"/>
    </row>
    <row r="114" spans="2:2" x14ac:dyDescent="0.2">
      <c r="B114" s="106"/>
    </row>
    <row r="115" spans="2:2" x14ac:dyDescent="0.2">
      <c r="B115" s="106"/>
    </row>
    <row r="116" spans="2:2" x14ac:dyDescent="0.2">
      <c r="B116" s="106"/>
    </row>
    <row r="117" spans="2:2" x14ac:dyDescent="0.2">
      <c r="B117" s="106"/>
    </row>
    <row r="118" spans="2:2" x14ac:dyDescent="0.2">
      <c r="B118" s="106"/>
    </row>
    <row r="119" spans="2:2" x14ac:dyDescent="0.2">
      <c r="B119" s="106"/>
    </row>
    <row r="120" spans="2:2" x14ac:dyDescent="0.2">
      <c r="B120" s="106"/>
    </row>
    <row r="121" spans="2:2" x14ac:dyDescent="0.2">
      <c r="B121" s="106"/>
    </row>
    <row r="122" spans="2:2" x14ac:dyDescent="0.2">
      <c r="B122" s="106"/>
    </row>
    <row r="123" spans="2:2" x14ac:dyDescent="0.2">
      <c r="B123" s="106"/>
    </row>
    <row r="124" spans="2:2" x14ac:dyDescent="0.2">
      <c r="B124" s="106"/>
    </row>
    <row r="125" spans="2:2" x14ac:dyDescent="0.2">
      <c r="B125" s="106"/>
    </row>
    <row r="126" spans="2:2" x14ac:dyDescent="0.2">
      <c r="B126" s="106"/>
    </row>
    <row r="127" spans="2:2" x14ac:dyDescent="0.2">
      <c r="B127" s="106"/>
    </row>
    <row r="128" spans="2:2" x14ac:dyDescent="0.2">
      <c r="B128" s="106"/>
    </row>
    <row r="129" spans="2:2" x14ac:dyDescent="0.2">
      <c r="B129" s="106"/>
    </row>
    <row r="130" spans="2:2" x14ac:dyDescent="0.2">
      <c r="B130" s="106"/>
    </row>
    <row r="131" spans="2:2" x14ac:dyDescent="0.2">
      <c r="B131" s="106"/>
    </row>
    <row r="132" spans="2:2" x14ac:dyDescent="0.2">
      <c r="B132" s="106"/>
    </row>
    <row r="133" spans="2:2" x14ac:dyDescent="0.2">
      <c r="B133" s="106"/>
    </row>
    <row r="134" spans="2:2" x14ac:dyDescent="0.2">
      <c r="B134" s="106"/>
    </row>
    <row r="135" spans="2:2" x14ac:dyDescent="0.2">
      <c r="B135" s="106"/>
    </row>
    <row r="136" spans="2:2" x14ac:dyDescent="0.2">
      <c r="B136" s="106"/>
    </row>
    <row r="137" spans="2:2" x14ac:dyDescent="0.2">
      <c r="B137" s="106"/>
    </row>
    <row r="138" spans="2:2" x14ac:dyDescent="0.2">
      <c r="B138" s="106"/>
    </row>
    <row r="139" spans="2:2" x14ac:dyDescent="0.2">
      <c r="B139" s="106"/>
    </row>
    <row r="140" spans="2:2" x14ac:dyDescent="0.2">
      <c r="B140" s="106"/>
    </row>
    <row r="141" spans="2:2" x14ac:dyDescent="0.2">
      <c r="B141" s="106"/>
    </row>
    <row r="142" spans="2:2" x14ac:dyDescent="0.2">
      <c r="B142" s="106"/>
    </row>
    <row r="143" spans="2:2" x14ac:dyDescent="0.2">
      <c r="B143" s="106"/>
    </row>
    <row r="144" spans="2:2" x14ac:dyDescent="0.2">
      <c r="B144" s="106"/>
    </row>
    <row r="145" spans="2:2" x14ac:dyDescent="0.2">
      <c r="B145" s="106"/>
    </row>
    <row r="146" spans="2:2" x14ac:dyDescent="0.2">
      <c r="B146" s="106"/>
    </row>
    <row r="147" spans="2:2" x14ac:dyDescent="0.2">
      <c r="B147" s="106"/>
    </row>
    <row r="148" spans="2:2" x14ac:dyDescent="0.2">
      <c r="B148" s="106"/>
    </row>
    <row r="149" spans="2:2" x14ac:dyDescent="0.2">
      <c r="B149" s="106"/>
    </row>
    <row r="150" spans="2:2" x14ac:dyDescent="0.2">
      <c r="B150" s="106"/>
    </row>
    <row r="151" spans="2:2" x14ac:dyDescent="0.2">
      <c r="B151" s="106"/>
    </row>
    <row r="152" spans="2:2" x14ac:dyDescent="0.2">
      <c r="B152" s="106"/>
    </row>
    <row r="153" spans="2:2" x14ac:dyDescent="0.2">
      <c r="B153" s="106"/>
    </row>
    <row r="154" spans="2:2" x14ac:dyDescent="0.2">
      <c r="B154" s="106"/>
    </row>
    <row r="155" spans="2:2" x14ac:dyDescent="0.2">
      <c r="B155" s="106"/>
    </row>
    <row r="156" spans="2:2" x14ac:dyDescent="0.2">
      <c r="B156" s="106"/>
    </row>
    <row r="157" spans="2:2" x14ac:dyDescent="0.2">
      <c r="B157" s="106"/>
    </row>
    <row r="158" spans="2:2" x14ac:dyDescent="0.2">
      <c r="B158" s="106"/>
    </row>
    <row r="159" spans="2:2" x14ac:dyDescent="0.2">
      <c r="B159" s="106"/>
    </row>
    <row r="160" spans="2:2" x14ac:dyDescent="0.2">
      <c r="B160" s="106"/>
    </row>
    <row r="161" spans="2:2" x14ac:dyDescent="0.2">
      <c r="B161" s="106"/>
    </row>
    <row r="162" spans="2:2" x14ac:dyDescent="0.2">
      <c r="B162" s="106"/>
    </row>
    <row r="163" spans="2:2" x14ac:dyDescent="0.2">
      <c r="B163" s="106"/>
    </row>
    <row r="164" spans="2:2" x14ac:dyDescent="0.2">
      <c r="B164" s="106"/>
    </row>
    <row r="165" spans="2:2" x14ac:dyDescent="0.2">
      <c r="B165" s="106"/>
    </row>
    <row r="166" spans="2:2" x14ac:dyDescent="0.2">
      <c r="B166" s="106"/>
    </row>
    <row r="167" spans="2:2" x14ac:dyDescent="0.2">
      <c r="B167" s="106"/>
    </row>
    <row r="168" spans="2:2" x14ac:dyDescent="0.2">
      <c r="B168" s="106"/>
    </row>
    <row r="169" spans="2:2" x14ac:dyDescent="0.2">
      <c r="B169" s="106"/>
    </row>
    <row r="170" spans="2:2" x14ac:dyDescent="0.2">
      <c r="B170" s="106"/>
    </row>
    <row r="171" spans="2:2" x14ac:dyDescent="0.2">
      <c r="B171" s="106"/>
    </row>
    <row r="172" spans="2:2" x14ac:dyDescent="0.2">
      <c r="B172" s="106"/>
    </row>
    <row r="173" spans="2:2" x14ac:dyDescent="0.2">
      <c r="B173" s="106"/>
    </row>
    <row r="174" spans="2:2" x14ac:dyDescent="0.2">
      <c r="B174" s="106"/>
    </row>
    <row r="175" spans="2:2" x14ac:dyDescent="0.2">
      <c r="B175" s="106"/>
    </row>
    <row r="176" spans="2:2" x14ac:dyDescent="0.2">
      <c r="B176" s="106"/>
    </row>
    <row r="177" spans="2:2" x14ac:dyDescent="0.2">
      <c r="B177" s="106"/>
    </row>
    <row r="178" spans="2:2" x14ac:dyDescent="0.2">
      <c r="B178" s="106"/>
    </row>
    <row r="179" spans="2:2" x14ac:dyDescent="0.2">
      <c r="B179" s="106"/>
    </row>
    <row r="180" spans="2:2" x14ac:dyDescent="0.2">
      <c r="B180" s="106"/>
    </row>
    <row r="181" spans="2:2" x14ac:dyDescent="0.2">
      <c r="B181" s="106"/>
    </row>
    <row r="182" spans="2:2" x14ac:dyDescent="0.2">
      <c r="B182" s="106"/>
    </row>
    <row r="183" spans="2:2" x14ac:dyDescent="0.2">
      <c r="B183" s="106"/>
    </row>
    <row r="184" spans="2:2" x14ac:dyDescent="0.2">
      <c r="B184" s="106"/>
    </row>
    <row r="185" spans="2:2" x14ac:dyDescent="0.2">
      <c r="B185" s="106"/>
    </row>
    <row r="186" spans="2:2" x14ac:dyDescent="0.2">
      <c r="B186" s="106"/>
    </row>
    <row r="187" spans="2:2" x14ac:dyDescent="0.2">
      <c r="B187" s="106"/>
    </row>
    <row r="188" spans="2:2" x14ac:dyDescent="0.2">
      <c r="B188" s="106"/>
    </row>
    <row r="189" spans="2:2" x14ac:dyDescent="0.2">
      <c r="B189" s="106"/>
    </row>
    <row r="190" spans="2:2" x14ac:dyDescent="0.2">
      <c r="B190" s="106"/>
    </row>
    <row r="191" spans="2:2" x14ac:dyDescent="0.2">
      <c r="B191" s="106"/>
    </row>
    <row r="192" spans="2:2" x14ac:dyDescent="0.2">
      <c r="B192" s="106"/>
    </row>
    <row r="193" spans="2:2" x14ac:dyDescent="0.2">
      <c r="B193" s="106"/>
    </row>
    <row r="194" spans="2:2" x14ac:dyDescent="0.2">
      <c r="B194" s="106"/>
    </row>
    <row r="195" spans="2:2" x14ac:dyDescent="0.2">
      <c r="B195" s="106"/>
    </row>
    <row r="196" spans="2:2" x14ac:dyDescent="0.2">
      <c r="B196" s="106"/>
    </row>
    <row r="197" spans="2:2" x14ac:dyDescent="0.2">
      <c r="B197" s="106"/>
    </row>
    <row r="198" spans="2:2" x14ac:dyDescent="0.2">
      <c r="B198" s="106"/>
    </row>
    <row r="199" spans="2:2" x14ac:dyDescent="0.2">
      <c r="B199" s="106"/>
    </row>
    <row r="200" spans="2:2" x14ac:dyDescent="0.2">
      <c r="B200" s="106"/>
    </row>
    <row r="201" spans="2:2" x14ac:dyDescent="0.2">
      <c r="B201" s="106"/>
    </row>
    <row r="202" spans="2:2" x14ac:dyDescent="0.2">
      <c r="B202" s="106"/>
    </row>
    <row r="203" spans="2:2" x14ac:dyDescent="0.2">
      <c r="B203" s="106"/>
    </row>
    <row r="204" spans="2:2" x14ac:dyDescent="0.2">
      <c r="B204" s="60"/>
    </row>
  </sheetData>
  <phoneticPr fontId="2"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S205"/>
  <sheetViews>
    <sheetView workbookViewId="0">
      <selection activeCell="D2" sqref="D2"/>
    </sheetView>
  </sheetViews>
  <sheetFormatPr baseColWidth="10" defaultColWidth="11.453125" defaultRowHeight="10" x14ac:dyDescent="0.2"/>
  <cols>
    <col min="1" max="1" width="17" style="1" bestFit="1" customWidth="1"/>
    <col min="2" max="2" width="24.26953125" style="1" bestFit="1" customWidth="1"/>
    <col min="3" max="3" width="20.26953125" style="1" bestFit="1" customWidth="1"/>
    <col min="4" max="5" width="19.26953125" style="1" bestFit="1" customWidth="1"/>
    <col min="6" max="6" width="15.54296875" style="1" bestFit="1" customWidth="1"/>
    <col min="7" max="7" width="16.26953125" style="1" bestFit="1" customWidth="1"/>
    <col min="8" max="8" width="15.81640625" style="1" bestFit="1" customWidth="1"/>
    <col min="9" max="9" width="14.453125" style="1" bestFit="1" customWidth="1"/>
    <col min="10" max="10" width="15.26953125" style="1" bestFit="1" customWidth="1"/>
    <col min="11" max="11" width="15.81640625" style="1" bestFit="1" customWidth="1"/>
    <col min="12" max="12" width="15.54296875" style="1" bestFit="1" customWidth="1"/>
    <col min="13" max="13" width="16.26953125" style="1" bestFit="1" customWidth="1"/>
    <col min="14" max="14" width="15.81640625" style="1" bestFit="1" customWidth="1"/>
    <col min="15" max="15" width="16.26953125" style="1" bestFit="1" customWidth="1"/>
    <col min="16" max="16" width="21.26953125" style="1" bestFit="1" customWidth="1"/>
    <col min="17" max="17" width="21.26953125" style="1" customWidth="1"/>
    <col min="18" max="18" width="16.26953125" style="1" bestFit="1" customWidth="1"/>
    <col min="19" max="19" width="14.1796875" style="1" bestFit="1" customWidth="1"/>
    <col min="20" max="20" width="13.81640625" style="1" bestFit="1" customWidth="1"/>
    <col min="21" max="16384" width="11.453125" style="1"/>
  </cols>
  <sheetData>
    <row r="1" spans="1:201" s="626" customFormat="1" ht="18" x14ac:dyDescent="0.4">
      <c r="A1" s="626" t="s">
        <v>619</v>
      </c>
    </row>
    <row r="2" spans="1:201" x14ac:dyDescent="0.2">
      <c r="C2" s="5" t="s">
        <v>237</v>
      </c>
      <c r="D2" s="63">
        <f>COUNTA(C6:GS6)</f>
        <v>18</v>
      </c>
      <c r="F2" s="5" t="s">
        <v>292</v>
      </c>
      <c r="G2" s="240" t="str">
        <f>"CT_APtoC1!B7:B"&amp;D3+6</f>
        <v>CT_APtoC1!B7:B18</v>
      </c>
    </row>
    <row r="3" spans="1:201" x14ac:dyDescent="0.2">
      <c r="C3" s="7" t="s">
        <v>250</v>
      </c>
      <c r="D3" s="69">
        <f>COUNTA(B7:B205)</f>
        <v>12</v>
      </c>
      <c r="F3" s="7" t="s">
        <v>317</v>
      </c>
      <c r="G3" s="69" t="str">
        <f>"CT_APtoC1!C6:"&amp;INDEX(CT_HELP!$B$1:$B$200,$D$2+2)&amp;"6"</f>
        <v>CT_APtoC1!C6:T6</v>
      </c>
    </row>
    <row r="5" spans="1:201" x14ac:dyDescent="0.2">
      <c r="A5" s="110" t="str">
        <f>"CT_APtoC1!A7:A"&amp;6+D3</f>
        <v>CT_APtoC1!A7:A18</v>
      </c>
      <c r="C5" s="110" t="str">
        <f>"CT_APtoC1!"&amp;CT_HELP!F5&amp;"7:"&amp;INDEX(CT_HELP!$B$1:$B$220,CT_HELP!F4)&amp;""&amp;SUM($D$3,6)</f>
        <v>CT_APtoC1!C7:C18</v>
      </c>
      <c r="D5" s="110" t="str">
        <f>"CT_APtoC1!"&amp;CT_HELP!G5&amp;"7:"&amp;INDEX(CT_HELP!$B$1:$B$220,CT_HELP!G4)&amp;""&amp;SUM($D$3,6)</f>
        <v>CT_APtoC1!D7:D18</v>
      </c>
      <c r="E5" s="110" t="str">
        <f>"CT_APtoC1!"&amp;CT_HELP!H5&amp;"7:"&amp;INDEX(CT_HELP!$B$1:$B$220,CT_HELP!H4)&amp;""&amp;SUM($D$3,6)</f>
        <v>CT_APtoC1!E7:E18</v>
      </c>
      <c r="F5" s="110" t="str">
        <f>"CT_APtoC1!"&amp;CT_HELP!I5&amp;"7:"&amp;INDEX(CT_HELP!$B$1:$B$220,CT_HELP!I4)&amp;""&amp;SUM($D$3,6)</f>
        <v>CT_APtoC1!F7:F18</v>
      </c>
      <c r="G5" s="110" t="str">
        <f>"CT_APtoC1!"&amp;CT_HELP!J5&amp;"7:"&amp;INDEX(CT_HELP!$B$1:$B$220,CT_HELP!J4)&amp;""&amp;SUM($D$3,6)</f>
        <v>CT_APtoC1!G7:G18</v>
      </c>
      <c r="H5" s="110" t="str">
        <f>"CT_APtoC1!"&amp;CT_HELP!K5&amp;"7:"&amp;INDEX(CT_HELP!$B$1:$B$220,CT_HELP!K4)&amp;""&amp;SUM($D$3,6)</f>
        <v>CT_APtoC1!H7:H18</v>
      </c>
      <c r="I5" s="110" t="str">
        <f>"CT_APtoC1!"&amp;CT_HELP!L5&amp;"7:"&amp;INDEX(CT_HELP!$B$1:$B$220,CT_HELP!L4)&amp;""&amp;SUM($D$3,6)</f>
        <v>CT_APtoC1!I7:I18</v>
      </c>
      <c r="J5" s="110" t="str">
        <f>"CT_APtoC1!"&amp;CT_HELP!M5&amp;"7:"&amp;INDEX(CT_HELP!$B$1:$B$220,CT_HELP!M4)&amp;""&amp;SUM($D$3,6)</f>
        <v>CT_APtoC1!J7:J18</v>
      </c>
      <c r="K5" s="110" t="str">
        <f>"CT_APtoC1!"&amp;CT_HELP!N5&amp;"7:"&amp;INDEX(CT_HELP!$B$1:$B$220,CT_HELP!N4)&amp;""&amp;SUM($D$3,6)</f>
        <v>CT_APtoC1!K7:K18</v>
      </c>
      <c r="L5" s="110" t="str">
        <f>"CT_APtoC1!"&amp;CT_HELP!O5&amp;"7:"&amp;INDEX(CT_HELP!$B$1:$B$220,CT_HELP!O4)&amp;""&amp;SUM($D$3,6)</f>
        <v>CT_APtoC1!L7:L18</v>
      </c>
      <c r="M5" s="110" t="str">
        <f>"CT_APtoC1!"&amp;CT_HELP!P5&amp;"7:"&amp;INDEX(CT_HELP!$B$1:$B$220,CT_HELP!P4)&amp;""&amp;SUM($D$3,6)</f>
        <v>CT_APtoC1!M7:M18</v>
      </c>
      <c r="N5" s="110" t="str">
        <f>"CT_APtoC1!"&amp;CT_HELP!Q5&amp;"7:"&amp;INDEX(CT_HELP!$B$1:$B$220,CT_HELP!Q4)&amp;""&amp;SUM($D$3,6)</f>
        <v>CT_APtoC1!N7:N18</v>
      </c>
      <c r="O5" s="110" t="str">
        <f>"CT_APtoC1!"&amp;CT_HELP!R5&amp;"7:"&amp;INDEX(CT_HELP!$B$1:$B$220,CT_HELP!R4)&amp;""&amp;SUM($D$3,6)</f>
        <v>CT_APtoC1!O7:O18</v>
      </c>
      <c r="P5" s="110" t="str">
        <f>"CT_APtoC1!"&amp;CT_HELP!S5&amp;"7:"&amp;INDEX(CT_HELP!$B$1:$B$220,CT_HELP!S4)&amp;""&amp;SUM($D$3,6)</f>
        <v>CT_APtoC1!P7:P18</v>
      </c>
      <c r="Q5" s="110" t="str">
        <f>"CT_APtoC1!"&amp;CT_HELP!T5&amp;"7:"&amp;INDEX(CT_HELP!$B$1:$B$220,CT_HELP!T4)&amp;""&amp;SUM($D$3,6)</f>
        <v>CT_APtoC1!Q7:Q18</v>
      </c>
      <c r="R5" s="110" t="str">
        <f>"CT_APtoC1!"&amp;CT_HELP!U5&amp;"7:"&amp;INDEX(CT_HELP!$B$1:$B$220,CT_HELP!U4)&amp;""&amp;SUM($D$3,6)</f>
        <v>CT_APtoC1!R7:R18</v>
      </c>
      <c r="S5" s="110" t="str">
        <f>"CT_APtoC1!"&amp;CT_HELP!V5&amp;"7:"&amp;INDEX(CT_HELP!$B$1:$B$220,CT_HELP!V4)&amp;""&amp;SUM($D$3,6)</f>
        <v>CT_APtoC1!S7:S18</v>
      </c>
      <c r="T5" s="110" t="str">
        <f>"CT_APtoC1!"&amp;CT_HELP!W5&amp;"7:"&amp;INDEX(CT_HELP!$B$1:$B$220,CT_HELP!W4)&amp;""&amp;SUM($D$3,6)</f>
        <v>CT_APtoC1!T7:T18</v>
      </c>
    </row>
    <row r="6" spans="1:201" ht="10.5" x14ac:dyDescent="0.25">
      <c r="B6" s="210" t="s">
        <v>39</v>
      </c>
      <c r="C6" s="203" t="s">
        <v>13</v>
      </c>
      <c r="D6" s="200" t="s">
        <v>14</v>
      </c>
      <c r="E6" s="200" t="s">
        <v>15</v>
      </c>
      <c r="F6" s="200" t="s">
        <v>16</v>
      </c>
      <c r="G6" s="200" t="s">
        <v>17</v>
      </c>
      <c r="H6" s="200" t="s">
        <v>341</v>
      </c>
      <c r="I6" s="200" t="s">
        <v>277</v>
      </c>
      <c r="J6" s="200" t="s">
        <v>18</v>
      </c>
      <c r="K6" s="200" t="s">
        <v>338</v>
      </c>
      <c r="L6" s="200" t="s">
        <v>339</v>
      </c>
      <c r="M6" s="200" t="s">
        <v>340</v>
      </c>
      <c r="N6" s="200" t="s">
        <v>278</v>
      </c>
      <c r="O6" s="200" t="s">
        <v>279</v>
      </c>
      <c r="P6" s="516" t="s">
        <v>589</v>
      </c>
      <c r="Q6" s="516" t="s">
        <v>603</v>
      </c>
      <c r="R6" s="204" t="str">
        <f>LanguageTable!B4</f>
        <v>No cable</v>
      </c>
      <c r="S6" s="204" t="str">
        <f>LanguageTable!B5</f>
        <v>Other cable</v>
      </c>
      <c r="T6" s="547" t="str">
        <f>LanguageTable!B47</f>
        <v>Default cable</v>
      </c>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3"/>
    </row>
    <row r="7" spans="1:201" x14ac:dyDescent="0.2">
      <c r="A7" s="110" t="str">
        <f>"CT_APtoC1!$C$"&amp;CT_HELP!A7&amp;":"&amp;INDEX(CT_HELP!$B$1:$B$200,$D$2+2)&amp;""&amp;CT_HELP!A7</f>
        <v>CT_APtoC1!$C$7:T7</v>
      </c>
      <c r="B7" s="415" t="s">
        <v>674</v>
      </c>
      <c r="C7" s="197" t="b">
        <v>1</v>
      </c>
      <c r="D7" s="197" t="b">
        <v>1</v>
      </c>
      <c r="E7" s="197" t="b">
        <v>1</v>
      </c>
      <c r="F7" s="197" t="b">
        <v>1</v>
      </c>
      <c r="G7" s="197" t="b">
        <v>1</v>
      </c>
      <c r="H7" s="197" t="b">
        <v>1</v>
      </c>
      <c r="I7" s="197" t="b">
        <v>1</v>
      </c>
      <c r="J7" s="197" t="b">
        <v>1</v>
      </c>
      <c r="K7" s="197" t="b">
        <v>1</v>
      </c>
      <c r="L7" s="197" t="b">
        <v>1</v>
      </c>
      <c r="M7" s="197" t="b">
        <v>1</v>
      </c>
      <c r="N7" s="197" t="b">
        <v>1</v>
      </c>
      <c r="O7" s="197" t="b">
        <v>1</v>
      </c>
      <c r="P7" s="197" t="b">
        <v>1</v>
      </c>
      <c r="Q7" s="197" t="b">
        <v>1</v>
      </c>
      <c r="R7" s="197" t="b">
        <v>1</v>
      </c>
      <c r="S7" s="197" t="b">
        <v>1</v>
      </c>
      <c r="T7" s="197" t="b">
        <v>1</v>
      </c>
    </row>
    <row r="8" spans="1:201" x14ac:dyDescent="0.2">
      <c r="A8" s="110" t="str">
        <f>"CT_APtoC1!$C$"&amp;CT_HELP!A8&amp;":"&amp;INDEX(CT_HELP!$B$1:$B$200,$D$2+2)&amp;""&amp;CT_HELP!A8</f>
        <v>CT_APtoC1!$C$8:T8</v>
      </c>
      <c r="B8" s="415" t="s">
        <v>678</v>
      </c>
      <c r="C8" s="198" t="b">
        <v>0</v>
      </c>
      <c r="D8" s="198" t="b">
        <v>0</v>
      </c>
      <c r="E8" s="198" t="b">
        <v>0</v>
      </c>
      <c r="F8" s="198" t="b">
        <v>0</v>
      </c>
      <c r="G8" s="198" t="b">
        <v>0</v>
      </c>
      <c r="H8" s="198" t="b">
        <v>0</v>
      </c>
      <c r="I8" s="198" t="b">
        <v>0</v>
      </c>
      <c r="J8" s="198" t="b">
        <v>0</v>
      </c>
      <c r="K8" s="198" t="b">
        <v>0</v>
      </c>
      <c r="L8" s="198" t="b">
        <v>0</v>
      </c>
      <c r="M8" s="198" t="b">
        <v>0</v>
      </c>
      <c r="N8" s="198" t="b">
        <v>0</v>
      </c>
      <c r="O8" s="198" t="b">
        <v>0</v>
      </c>
      <c r="P8" s="198" t="b">
        <v>0</v>
      </c>
      <c r="Q8" s="198" t="b">
        <v>0</v>
      </c>
      <c r="R8" s="197" t="b">
        <v>1</v>
      </c>
      <c r="S8" s="198" t="b">
        <v>0</v>
      </c>
      <c r="T8" s="198" t="b">
        <v>0</v>
      </c>
    </row>
    <row r="9" spans="1:201" x14ac:dyDescent="0.2">
      <c r="A9" s="110" t="str">
        <f>"CT_APtoC1!$C$"&amp;CT_HELP!A9&amp;":"&amp;INDEX(CT_HELP!$B$1:$B$200,$D$2+2)&amp;""&amp;CT_HELP!A9</f>
        <v>CT_APtoC1!$C$9:T9</v>
      </c>
      <c r="B9" s="415" t="s">
        <v>502</v>
      </c>
      <c r="C9" s="197" t="b">
        <v>1</v>
      </c>
      <c r="D9" s="197" t="b">
        <v>1</v>
      </c>
      <c r="E9" s="197" t="b">
        <v>1</v>
      </c>
      <c r="F9" s="197" t="b">
        <v>1</v>
      </c>
      <c r="G9" s="197" t="b">
        <v>1</v>
      </c>
      <c r="H9" s="197" t="b">
        <v>1</v>
      </c>
      <c r="I9" s="197" t="b">
        <v>1</v>
      </c>
      <c r="J9" s="197" t="b">
        <v>1</v>
      </c>
      <c r="K9" s="197" t="b">
        <v>1</v>
      </c>
      <c r="L9" s="197" t="b">
        <v>1</v>
      </c>
      <c r="M9" s="197" t="b">
        <v>1</v>
      </c>
      <c r="N9" s="197" t="b">
        <v>1</v>
      </c>
      <c r="O9" s="197" t="b">
        <v>1</v>
      </c>
      <c r="P9" s="197" t="b">
        <v>1</v>
      </c>
      <c r="Q9" s="198" t="b">
        <v>0</v>
      </c>
      <c r="R9" s="197" t="b">
        <v>1</v>
      </c>
      <c r="S9" s="197" t="b">
        <v>1</v>
      </c>
      <c r="T9" s="197" t="b">
        <v>1</v>
      </c>
    </row>
    <row r="10" spans="1:201" x14ac:dyDescent="0.2">
      <c r="A10" s="110" t="str">
        <f>"CT_APtoC1!$C$"&amp;CT_HELP!A10&amp;":"&amp;INDEX(CT_HELP!$B$1:$B$200,$D$2+2)&amp;""&amp;CT_HELP!A10</f>
        <v>CT_APtoC1!$C$10:T10</v>
      </c>
      <c r="B10" s="415" t="s">
        <v>501</v>
      </c>
      <c r="C10" s="197" t="b">
        <v>1</v>
      </c>
      <c r="D10" s="197" t="b">
        <v>1</v>
      </c>
      <c r="E10" s="197" t="b">
        <v>1</v>
      </c>
      <c r="F10" s="197" t="b">
        <v>1</v>
      </c>
      <c r="G10" s="197" t="b">
        <v>1</v>
      </c>
      <c r="H10" s="197" t="b">
        <v>1</v>
      </c>
      <c r="I10" s="197" t="b">
        <v>1</v>
      </c>
      <c r="J10" s="197" t="b">
        <v>1</v>
      </c>
      <c r="K10" s="197" t="b">
        <v>1</v>
      </c>
      <c r="L10" s="197" t="b">
        <v>1</v>
      </c>
      <c r="M10" s="197" t="b">
        <v>1</v>
      </c>
      <c r="N10" s="197" t="b">
        <v>1</v>
      </c>
      <c r="O10" s="197" t="b">
        <v>1</v>
      </c>
      <c r="P10" s="197" t="b">
        <v>1</v>
      </c>
      <c r="Q10" s="198" t="b">
        <v>0</v>
      </c>
      <c r="R10" s="197" t="b">
        <v>1</v>
      </c>
      <c r="S10" s="197" t="b">
        <v>1</v>
      </c>
      <c r="T10" s="197" t="b">
        <v>1</v>
      </c>
    </row>
    <row r="11" spans="1:201" x14ac:dyDescent="0.2">
      <c r="A11" s="110" t="str">
        <f>"CT_APtoC1!$C$"&amp;CT_HELP!A11&amp;":"&amp;INDEX(CT_HELP!$B$1:$B$200,$D$2+2)&amp;""&amp;CT_HELP!A11</f>
        <v>CT_APtoC1!$C$11:T11</v>
      </c>
      <c r="B11" s="415" t="s">
        <v>503</v>
      </c>
      <c r="C11" s="198" t="b">
        <v>0</v>
      </c>
      <c r="D11" s="198" t="b">
        <v>0</v>
      </c>
      <c r="E11" s="198" t="b">
        <v>0</v>
      </c>
      <c r="F11" s="198" t="b">
        <v>0</v>
      </c>
      <c r="G11" s="198" t="b">
        <v>0</v>
      </c>
      <c r="H11" s="198" t="b">
        <v>0</v>
      </c>
      <c r="I11" s="198" t="b">
        <v>0</v>
      </c>
      <c r="J11" s="198" t="b">
        <v>0</v>
      </c>
      <c r="K11" s="198" t="b">
        <v>0</v>
      </c>
      <c r="L11" s="198" t="b">
        <v>0</v>
      </c>
      <c r="M11" s="198" t="b">
        <v>0</v>
      </c>
      <c r="N11" s="198" t="b">
        <v>0</v>
      </c>
      <c r="O11" s="198" t="b">
        <v>0</v>
      </c>
      <c r="P11" s="198" t="b">
        <v>0</v>
      </c>
      <c r="Q11" s="198" t="b">
        <v>0</v>
      </c>
      <c r="R11" s="197" t="b">
        <v>1</v>
      </c>
      <c r="S11" s="198" t="b">
        <v>0</v>
      </c>
      <c r="T11" s="198" t="b">
        <v>0</v>
      </c>
    </row>
    <row r="12" spans="1:201" x14ac:dyDescent="0.2">
      <c r="A12" s="110" t="str">
        <f>"CT_APtoC1!$C$"&amp;CT_HELP!A12&amp;":"&amp;INDEX(CT_HELP!$B$1:$B$200,$D$2+2)&amp;""&amp;CT_HELP!A12</f>
        <v>CT_APtoC1!$C$12:T12</v>
      </c>
      <c r="B12" s="97" t="s">
        <v>677</v>
      </c>
      <c r="C12" s="197" t="b">
        <v>1</v>
      </c>
      <c r="D12" s="197" t="b">
        <v>1</v>
      </c>
      <c r="E12" s="197" t="b">
        <v>1</v>
      </c>
      <c r="F12" s="197" t="b">
        <v>1</v>
      </c>
      <c r="G12" s="197" t="b">
        <v>1</v>
      </c>
      <c r="H12" s="197" t="b">
        <v>1</v>
      </c>
      <c r="I12" s="197" t="b">
        <v>1</v>
      </c>
      <c r="J12" s="197" t="b">
        <v>1</v>
      </c>
      <c r="K12" s="197" t="b">
        <v>1</v>
      </c>
      <c r="L12" s="197" t="b">
        <v>1</v>
      </c>
      <c r="M12" s="197" t="b">
        <v>1</v>
      </c>
      <c r="N12" s="197" t="b">
        <v>1</v>
      </c>
      <c r="O12" s="197" t="b">
        <v>1</v>
      </c>
      <c r="P12" s="197" t="b">
        <v>1</v>
      </c>
      <c r="Q12" s="197" t="b">
        <v>1</v>
      </c>
      <c r="R12" s="197" t="b">
        <v>1</v>
      </c>
      <c r="S12" s="197" t="b">
        <v>1</v>
      </c>
      <c r="T12" s="197" t="b">
        <v>1</v>
      </c>
    </row>
    <row r="13" spans="1:201" x14ac:dyDescent="0.2">
      <c r="A13" s="110" t="str">
        <f>"CT_APtoC1!$C$"&amp;CT_HELP!A13&amp;":"&amp;INDEX(CT_HELP!$B$1:$B$200,$D$2+2)&amp;""&amp;CT_HELP!A13</f>
        <v>CT_APtoC1!$C$13:T13</v>
      </c>
      <c r="B13" s="415" t="s">
        <v>505</v>
      </c>
      <c r="C13" s="197" t="b">
        <v>1</v>
      </c>
      <c r="D13" s="197" t="b">
        <v>1</v>
      </c>
      <c r="E13" s="197" t="b">
        <v>1</v>
      </c>
      <c r="F13" s="197" t="b">
        <v>1</v>
      </c>
      <c r="G13" s="197" t="b">
        <v>1</v>
      </c>
      <c r="H13" s="197" t="b">
        <v>1</v>
      </c>
      <c r="I13" s="197" t="b">
        <v>1</v>
      </c>
      <c r="J13" s="197" t="b">
        <v>1</v>
      </c>
      <c r="K13" s="197" t="b">
        <v>1</v>
      </c>
      <c r="L13" s="197" t="b">
        <v>1</v>
      </c>
      <c r="M13" s="197" t="b">
        <v>1</v>
      </c>
      <c r="N13" s="197" t="b">
        <v>1</v>
      </c>
      <c r="O13" s="197" t="b">
        <v>1</v>
      </c>
      <c r="P13" s="197" t="b">
        <v>1</v>
      </c>
      <c r="Q13" s="197" t="b">
        <v>1</v>
      </c>
      <c r="R13" s="197" t="b">
        <v>1</v>
      </c>
      <c r="S13" s="197" t="b">
        <v>1</v>
      </c>
      <c r="T13" s="197" t="b">
        <v>1</v>
      </c>
    </row>
    <row r="14" spans="1:201" x14ac:dyDescent="0.2">
      <c r="A14" s="110" t="str">
        <f>"CT_APtoC1!$C$"&amp;CT_HELP!A14&amp;":"&amp;INDEX(CT_HELP!$B$1:$B$200,$D$2+2)&amp;""&amp;CT_HELP!A14</f>
        <v>CT_APtoC1!$C$14:T14</v>
      </c>
      <c r="B14" s="97" t="s">
        <v>605</v>
      </c>
      <c r="C14" s="197" t="b">
        <v>1</v>
      </c>
      <c r="D14" s="197" t="b">
        <v>1</v>
      </c>
      <c r="E14" s="197" t="b">
        <v>1</v>
      </c>
      <c r="F14" s="197" t="b">
        <v>1</v>
      </c>
      <c r="G14" s="197" t="b">
        <v>1</v>
      </c>
      <c r="H14" s="197" t="b">
        <v>1</v>
      </c>
      <c r="I14" s="197" t="b">
        <v>1</v>
      </c>
      <c r="J14" s="197" t="b">
        <v>1</v>
      </c>
      <c r="K14" s="197" t="b">
        <v>1</v>
      </c>
      <c r="L14" s="197" t="b">
        <v>1</v>
      </c>
      <c r="M14" s="197" t="b">
        <v>1</v>
      </c>
      <c r="N14" s="197" t="b">
        <v>1</v>
      </c>
      <c r="O14" s="197" t="b">
        <v>1</v>
      </c>
      <c r="P14" s="197" t="b">
        <v>1</v>
      </c>
      <c r="Q14" s="197" t="b">
        <v>1</v>
      </c>
      <c r="R14" s="197" t="b">
        <v>1</v>
      </c>
      <c r="S14" s="197" t="b">
        <v>1</v>
      </c>
      <c r="T14" s="197" t="b">
        <v>1</v>
      </c>
    </row>
    <row r="15" spans="1:201" x14ac:dyDescent="0.2">
      <c r="A15" s="110" t="str">
        <f>"CT_APtoC1!$C$"&amp;CT_HELP!A15&amp;":"&amp;INDEX(CT_HELP!$B$1:$B$200,$D$2+2)&amp;""&amp;CT_HELP!A15</f>
        <v>CT_APtoC1!$C$15:T15</v>
      </c>
      <c r="B15" s="195" t="s">
        <v>406</v>
      </c>
      <c r="C15" s="197" t="b">
        <v>1</v>
      </c>
      <c r="D15" s="197" t="b">
        <v>1</v>
      </c>
      <c r="E15" s="197" t="b">
        <v>1</v>
      </c>
      <c r="F15" s="197" t="b">
        <v>1</v>
      </c>
      <c r="G15" s="197" t="b">
        <v>1</v>
      </c>
      <c r="H15" s="197" t="b">
        <v>1</v>
      </c>
      <c r="I15" s="197" t="b">
        <v>1</v>
      </c>
      <c r="J15" s="197" t="b">
        <v>1</v>
      </c>
      <c r="K15" s="197" t="b">
        <v>1</v>
      </c>
      <c r="L15" s="197" t="b">
        <v>1</v>
      </c>
      <c r="M15" s="197" t="b">
        <v>1</v>
      </c>
      <c r="N15" s="197" t="b">
        <v>1</v>
      </c>
      <c r="O15" s="197" t="b">
        <v>1</v>
      </c>
      <c r="P15" s="197" t="b">
        <v>1</v>
      </c>
      <c r="Q15" s="197" t="b">
        <v>1</v>
      </c>
      <c r="R15" s="197" t="b">
        <v>1</v>
      </c>
      <c r="S15" s="197" t="b">
        <v>1</v>
      </c>
      <c r="T15" s="197" t="b">
        <v>1</v>
      </c>
    </row>
    <row r="16" spans="1:201" x14ac:dyDescent="0.2">
      <c r="A16" s="110" t="str">
        <f>"CT_APtoC1!$C$"&amp;CT_HELP!A16&amp;":"&amp;INDEX(CT_HELP!$B$1:$B$200,$D$2+2)&amp;""&amp;CT_HELP!A16</f>
        <v>CT_APtoC1!$C$16:T16</v>
      </c>
      <c r="B16" s="195" t="s">
        <v>405</v>
      </c>
      <c r="C16" s="197" t="b">
        <v>1</v>
      </c>
      <c r="D16" s="197" t="b">
        <v>1</v>
      </c>
      <c r="E16" s="197" t="b">
        <v>1</v>
      </c>
      <c r="F16" s="197" t="b">
        <v>1</v>
      </c>
      <c r="G16" s="197" t="b">
        <v>1</v>
      </c>
      <c r="H16" s="197" t="b">
        <v>1</v>
      </c>
      <c r="I16" s="197" t="b">
        <v>1</v>
      </c>
      <c r="J16" s="197" t="b">
        <v>1</v>
      </c>
      <c r="K16" s="197" t="b">
        <v>1</v>
      </c>
      <c r="L16" s="197" t="b">
        <v>1</v>
      </c>
      <c r="M16" s="197" t="b">
        <v>1</v>
      </c>
      <c r="N16" s="197" t="b">
        <v>1</v>
      </c>
      <c r="O16" s="197" t="b">
        <v>1</v>
      </c>
      <c r="P16" s="197" t="b">
        <v>1</v>
      </c>
      <c r="Q16" s="197" t="b">
        <v>1</v>
      </c>
      <c r="R16" s="197" t="b">
        <v>1</v>
      </c>
      <c r="S16" s="197" t="b">
        <v>1</v>
      </c>
      <c r="T16" s="197" t="b">
        <v>1</v>
      </c>
    </row>
    <row r="17" spans="1:20" x14ac:dyDescent="0.2">
      <c r="A17" s="110" t="str">
        <f>"CT_APtoC1!$C$"&amp;CT_HELP!A17&amp;":"&amp;INDEX(CT_HELP!$B$1:$B$200,$D$2+2)&amp;""&amp;CT_HELP!A17</f>
        <v>CT_APtoC1!$C$17:T17</v>
      </c>
      <c r="B17" s="97" t="s">
        <v>607</v>
      </c>
      <c r="C17" s="197" t="b">
        <v>1</v>
      </c>
      <c r="D17" s="197" t="b">
        <v>1</v>
      </c>
      <c r="E17" s="197" t="b">
        <v>1</v>
      </c>
      <c r="F17" s="197" t="b">
        <v>1</v>
      </c>
      <c r="G17" s="197" t="b">
        <v>1</v>
      </c>
      <c r="H17" s="197" t="b">
        <v>1</v>
      </c>
      <c r="I17" s="197" t="b">
        <v>1</v>
      </c>
      <c r="J17" s="197" t="b">
        <v>1</v>
      </c>
      <c r="K17" s="197" t="b">
        <v>1</v>
      </c>
      <c r="L17" s="197" t="b">
        <v>1</v>
      </c>
      <c r="M17" s="197" t="b">
        <v>1</v>
      </c>
      <c r="N17" s="197" t="b">
        <v>1</v>
      </c>
      <c r="O17" s="197" t="b">
        <v>1</v>
      </c>
      <c r="P17" s="197" t="b">
        <v>1</v>
      </c>
      <c r="Q17" s="197" t="b">
        <v>1</v>
      </c>
      <c r="R17" s="197" t="b">
        <v>1</v>
      </c>
      <c r="S17" s="197" t="b">
        <v>1</v>
      </c>
      <c r="T17" s="197" t="b">
        <v>1</v>
      </c>
    </row>
    <row r="18" spans="1:20" x14ac:dyDescent="0.2">
      <c r="A18" s="110" t="str">
        <f>"CT_APtoC1!$C$"&amp;CT_HELP!A18&amp;":"&amp;INDEX(CT_HELP!$B$1:$B$200,$D$2+2)&amp;""&amp;CT_HELP!A18</f>
        <v>CT_APtoC1!$C$18:T18</v>
      </c>
      <c r="B18" s="97" t="s">
        <v>606</v>
      </c>
      <c r="C18" s="197" t="b">
        <v>1</v>
      </c>
      <c r="D18" s="197" t="b">
        <v>1</v>
      </c>
      <c r="E18" s="197" t="b">
        <v>1</v>
      </c>
      <c r="F18" s="197" t="b">
        <v>1</v>
      </c>
      <c r="G18" s="197" t="b">
        <v>1</v>
      </c>
      <c r="H18" s="197" t="b">
        <v>1</v>
      </c>
      <c r="I18" s="197" t="b">
        <v>1</v>
      </c>
      <c r="J18" s="197" t="b">
        <v>1</v>
      </c>
      <c r="K18" s="197" t="b">
        <v>1</v>
      </c>
      <c r="L18" s="197" t="b">
        <v>1</v>
      </c>
      <c r="M18" s="197" t="b">
        <v>1</v>
      </c>
      <c r="N18" s="197" t="b">
        <v>1</v>
      </c>
      <c r="O18" s="197" t="b">
        <v>1</v>
      </c>
      <c r="P18" s="197" t="b">
        <v>1</v>
      </c>
      <c r="Q18" s="197" t="b">
        <v>1</v>
      </c>
      <c r="R18" s="197" t="b">
        <v>1</v>
      </c>
      <c r="S18" s="197" t="b">
        <v>1</v>
      </c>
      <c r="T18" s="197" t="b">
        <v>1</v>
      </c>
    </row>
    <row r="19" spans="1:20" x14ac:dyDescent="0.2">
      <c r="A19" s="110"/>
      <c r="B19" s="97"/>
      <c r="C19" s="197"/>
      <c r="D19" s="197"/>
      <c r="E19" s="197"/>
      <c r="F19" s="197"/>
      <c r="G19" s="197"/>
      <c r="H19" s="197"/>
      <c r="I19" s="197"/>
      <c r="J19" s="197"/>
      <c r="K19" s="197"/>
      <c r="L19" s="197"/>
      <c r="M19" s="197"/>
      <c r="N19" s="197"/>
      <c r="O19" s="197"/>
      <c r="P19" s="197"/>
      <c r="Q19" s="197"/>
      <c r="R19" s="197"/>
      <c r="S19" s="197"/>
      <c r="T19" s="197"/>
    </row>
    <row r="20" spans="1:20" x14ac:dyDescent="0.2">
      <c r="A20" s="110"/>
      <c r="B20" s="97"/>
      <c r="C20" s="197"/>
      <c r="D20" s="197"/>
      <c r="E20" s="197"/>
      <c r="F20" s="197"/>
      <c r="G20" s="197"/>
      <c r="H20" s="197"/>
      <c r="I20" s="197"/>
      <c r="J20" s="197"/>
      <c r="K20" s="197"/>
      <c r="L20" s="197"/>
      <c r="M20" s="197"/>
      <c r="N20" s="197"/>
      <c r="O20" s="197"/>
      <c r="P20" s="197"/>
      <c r="Q20" s="197"/>
      <c r="R20" s="197"/>
      <c r="S20" s="197"/>
      <c r="T20" s="197"/>
    </row>
    <row r="21" spans="1:20" x14ac:dyDescent="0.2">
      <c r="A21" s="110"/>
      <c r="B21" s="97"/>
      <c r="C21" s="197"/>
      <c r="D21" s="197"/>
      <c r="E21" s="197"/>
      <c r="F21" s="197"/>
      <c r="G21" s="197"/>
      <c r="H21" s="197"/>
      <c r="I21" s="197"/>
      <c r="J21" s="197"/>
      <c r="K21" s="197"/>
      <c r="L21" s="197"/>
      <c r="M21" s="197"/>
      <c r="N21" s="197"/>
      <c r="O21" s="197"/>
      <c r="P21" s="197"/>
      <c r="Q21" s="197"/>
      <c r="R21" s="197"/>
      <c r="S21" s="197"/>
      <c r="T21" s="197"/>
    </row>
    <row r="22" spans="1:20" x14ac:dyDescent="0.2">
      <c r="A22" s="110"/>
      <c r="B22" s="97"/>
      <c r="C22" s="197"/>
      <c r="D22" s="197"/>
      <c r="E22" s="197"/>
      <c r="F22" s="197"/>
      <c r="G22" s="197"/>
      <c r="H22" s="197"/>
      <c r="I22" s="197"/>
      <c r="J22" s="197"/>
      <c r="K22" s="197"/>
      <c r="L22" s="197"/>
      <c r="M22" s="197"/>
      <c r="N22" s="197"/>
      <c r="O22" s="197"/>
      <c r="P22" s="197"/>
      <c r="Q22" s="197"/>
      <c r="R22" s="197"/>
      <c r="S22" s="197"/>
      <c r="T22" s="197"/>
    </row>
    <row r="23" spans="1:20" x14ac:dyDescent="0.2">
      <c r="A23" s="110"/>
      <c r="B23" s="97"/>
      <c r="C23" s="198"/>
      <c r="D23" s="198"/>
      <c r="E23" s="198"/>
      <c r="F23" s="198"/>
      <c r="G23" s="198"/>
      <c r="H23" s="198"/>
      <c r="I23" s="198"/>
      <c r="J23" s="198"/>
      <c r="K23" s="198"/>
      <c r="L23" s="198"/>
      <c r="M23" s="198"/>
      <c r="N23" s="198"/>
      <c r="O23" s="198"/>
      <c r="P23" s="198"/>
      <c r="Q23" s="198"/>
      <c r="R23" s="197"/>
      <c r="S23" s="198"/>
      <c r="T23" s="198"/>
    </row>
    <row r="24" spans="1:20" x14ac:dyDescent="0.2">
      <c r="A24" s="110"/>
      <c r="B24" s="97"/>
      <c r="C24" s="197"/>
      <c r="D24" s="197"/>
      <c r="E24" s="197"/>
      <c r="F24" s="197"/>
      <c r="G24" s="197"/>
      <c r="H24" s="197"/>
      <c r="I24" s="197"/>
      <c r="J24" s="197"/>
      <c r="K24" s="197"/>
      <c r="L24" s="197"/>
      <c r="M24" s="197"/>
      <c r="N24" s="197"/>
      <c r="O24" s="197"/>
      <c r="P24" s="197"/>
      <c r="Q24" s="198"/>
      <c r="R24" s="197"/>
      <c r="S24" s="197"/>
      <c r="T24" s="197"/>
    </row>
    <row r="25" spans="1:20" x14ac:dyDescent="0.2">
      <c r="A25" s="110"/>
      <c r="B25" s="97"/>
      <c r="C25" s="197"/>
      <c r="D25" s="197"/>
      <c r="E25" s="197"/>
      <c r="F25" s="197"/>
      <c r="G25" s="197"/>
      <c r="H25" s="197"/>
      <c r="I25" s="197"/>
      <c r="J25" s="197"/>
      <c r="K25" s="197"/>
      <c r="L25" s="197"/>
      <c r="M25" s="197"/>
      <c r="N25" s="197"/>
      <c r="O25" s="197"/>
      <c r="P25" s="197"/>
      <c r="Q25" s="198"/>
      <c r="R25" s="197"/>
      <c r="S25" s="197"/>
      <c r="T25" s="197"/>
    </row>
    <row r="26" spans="1:20" x14ac:dyDescent="0.2">
      <c r="A26" s="110"/>
      <c r="B26" s="195"/>
      <c r="C26" s="197"/>
      <c r="D26" s="197"/>
      <c r="E26" s="197"/>
      <c r="F26" s="197"/>
      <c r="G26" s="197"/>
      <c r="H26" s="197"/>
      <c r="I26" s="197"/>
      <c r="J26" s="197"/>
      <c r="K26" s="197"/>
      <c r="L26" s="197"/>
      <c r="M26" s="197"/>
      <c r="N26" s="197"/>
      <c r="O26" s="197"/>
      <c r="P26" s="197"/>
      <c r="Q26" s="198"/>
      <c r="R26" s="197"/>
      <c r="S26" s="197"/>
      <c r="T26" s="197"/>
    </row>
    <row r="27" spans="1:20" x14ac:dyDescent="0.2">
      <c r="A27" s="110"/>
      <c r="B27" s="195"/>
      <c r="C27" s="197"/>
      <c r="D27" s="197"/>
      <c r="E27" s="197"/>
      <c r="F27" s="197"/>
      <c r="G27" s="197"/>
      <c r="H27" s="197"/>
      <c r="I27" s="197"/>
      <c r="J27" s="197"/>
      <c r="K27" s="197"/>
      <c r="L27" s="197"/>
      <c r="M27" s="197"/>
      <c r="N27" s="197"/>
      <c r="O27" s="197"/>
      <c r="P27" s="197"/>
      <c r="Q27" s="198"/>
      <c r="R27" s="197"/>
      <c r="S27" s="197"/>
      <c r="T27" s="197"/>
    </row>
    <row r="28" spans="1:20" x14ac:dyDescent="0.2">
      <c r="A28" s="110"/>
      <c r="B28" s="195"/>
      <c r="C28" s="197"/>
      <c r="D28" s="197"/>
      <c r="E28" s="197"/>
      <c r="F28" s="197"/>
      <c r="G28" s="197"/>
      <c r="H28" s="197"/>
      <c r="I28" s="197"/>
      <c r="J28" s="197"/>
      <c r="K28" s="197"/>
      <c r="L28" s="197"/>
      <c r="M28" s="197"/>
      <c r="N28" s="197"/>
      <c r="O28" s="197"/>
      <c r="P28" s="197"/>
      <c r="Q28" s="198"/>
      <c r="R28" s="197"/>
      <c r="S28" s="197"/>
      <c r="T28" s="197"/>
    </row>
    <row r="29" spans="1:20" x14ac:dyDescent="0.2">
      <c r="A29" s="110"/>
      <c r="B29" s="106"/>
      <c r="C29" s="197"/>
      <c r="D29" s="197"/>
      <c r="E29" s="197"/>
      <c r="F29" s="197"/>
      <c r="G29" s="197"/>
      <c r="H29" s="197"/>
      <c r="I29" s="197"/>
      <c r="J29" s="197"/>
      <c r="K29" s="197"/>
      <c r="L29" s="197"/>
      <c r="M29" s="197"/>
      <c r="N29" s="197"/>
      <c r="O29" s="197"/>
      <c r="P29" s="197"/>
      <c r="Q29" s="197"/>
      <c r="R29" s="197"/>
      <c r="S29" s="197"/>
      <c r="T29" s="197"/>
    </row>
    <row r="30" spans="1:20" x14ac:dyDescent="0.2">
      <c r="A30" s="110"/>
      <c r="B30" s="106"/>
      <c r="C30" s="197"/>
      <c r="D30" s="197"/>
      <c r="E30" s="197"/>
      <c r="F30" s="197"/>
      <c r="G30" s="197"/>
      <c r="H30" s="197"/>
      <c r="I30" s="197"/>
      <c r="J30" s="197"/>
      <c r="K30" s="197"/>
      <c r="L30" s="197"/>
      <c r="M30" s="197"/>
      <c r="N30" s="197"/>
      <c r="O30" s="197"/>
      <c r="P30" s="197"/>
      <c r="Q30" s="197"/>
      <c r="R30" s="197"/>
      <c r="S30" s="197"/>
      <c r="T30" s="197"/>
    </row>
    <row r="31" spans="1:20" x14ac:dyDescent="0.2">
      <c r="A31" s="110"/>
      <c r="B31" s="106"/>
      <c r="C31" s="197"/>
      <c r="D31" s="197"/>
      <c r="E31" s="197"/>
      <c r="F31" s="197"/>
      <c r="G31" s="197"/>
      <c r="H31" s="197"/>
      <c r="I31" s="197"/>
      <c r="J31" s="197"/>
      <c r="K31" s="197"/>
      <c r="L31" s="197"/>
      <c r="M31" s="197"/>
      <c r="N31" s="197"/>
      <c r="O31" s="197"/>
      <c r="P31" s="197"/>
      <c r="Q31" s="197"/>
      <c r="R31" s="197"/>
      <c r="S31" s="197"/>
      <c r="T31" s="197"/>
    </row>
    <row r="32" spans="1:20" x14ac:dyDescent="0.2">
      <c r="A32" s="110"/>
      <c r="B32" s="106"/>
      <c r="C32" s="197"/>
      <c r="D32" s="197"/>
      <c r="E32" s="197"/>
      <c r="F32" s="197"/>
      <c r="G32" s="197"/>
      <c r="H32" s="197"/>
      <c r="I32" s="197"/>
      <c r="J32" s="197"/>
      <c r="K32" s="197"/>
      <c r="L32" s="197"/>
      <c r="M32" s="197"/>
      <c r="N32" s="197"/>
      <c r="O32" s="197"/>
      <c r="P32" s="197"/>
      <c r="Q32" s="198"/>
      <c r="R32" s="197"/>
      <c r="S32" s="197"/>
      <c r="T32" s="197"/>
    </row>
    <row r="33" spans="1:20" x14ac:dyDescent="0.2">
      <c r="A33" s="110"/>
      <c r="B33" s="106"/>
      <c r="C33" s="197"/>
      <c r="D33" s="197"/>
      <c r="E33" s="197"/>
      <c r="F33" s="197"/>
      <c r="G33" s="197"/>
      <c r="H33" s="197"/>
      <c r="I33" s="197"/>
      <c r="J33" s="197"/>
      <c r="K33" s="197"/>
      <c r="L33" s="197"/>
      <c r="M33" s="197"/>
      <c r="N33" s="197"/>
      <c r="O33" s="197"/>
      <c r="P33" s="197"/>
      <c r="Q33" s="197"/>
      <c r="R33" s="197"/>
      <c r="S33" s="197"/>
      <c r="T33" s="197"/>
    </row>
    <row r="34" spans="1:20" x14ac:dyDescent="0.2">
      <c r="A34" s="110"/>
      <c r="B34" s="195"/>
      <c r="C34" s="197"/>
      <c r="D34" s="197"/>
      <c r="E34" s="197"/>
      <c r="F34" s="197"/>
      <c r="G34" s="197"/>
      <c r="H34" s="197"/>
      <c r="I34" s="197"/>
      <c r="J34" s="197"/>
      <c r="K34" s="197"/>
      <c r="L34" s="197"/>
      <c r="M34" s="197"/>
      <c r="N34" s="197"/>
      <c r="O34" s="197"/>
      <c r="P34" s="197"/>
      <c r="Q34" s="197"/>
      <c r="R34" s="197"/>
      <c r="S34" s="197"/>
      <c r="T34" s="197"/>
    </row>
    <row r="35" spans="1:20" x14ac:dyDescent="0.2">
      <c r="A35" s="110"/>
      <c r="B35" s="195"/>
      <c r="C35" s="197"/>
      <c r="D35" s="197"/>
      <c r="E35" s="197"/>
      <c r="F35" s="197"/>
      <c r="G35" s="197"/>
      <c r="H35" s="197"/>
      <c r="I35" s="197"/>
      <c r="J35" s="197"/>
      <c r="K35" s="197"/>
      <c r="L35" s="197"/>
      <c r="M35" s="197"/>
      <c r="N35" s="197"/>
      <c r="O35" s="197"/>
      <c r="P35" s="197"/>
      <c r="Q35" s="198"/>
      <c r="R35" s="197"/>
      <c r="S35" s="197"/>
      <c r="T35" s="197"/>
    </row>
    <row r="36" spans="1:20" x14ac:dyDescent="0.2">
      <c r="A36" s="110"/>
      <c r="B36" s="195"/>
      <c r="C36" s="197"/>
      <c r="D36" s="197"/>
      <c r="E36" s="197"/>
      <c r="F36" s="197"/>
      <c r="G36" s="197"/>
      <c r="H36" s="197"/>
      <c r="I36" s="197"/>
      <c r="J36" s="197"/>
      <c r="K36" s="197"/>
      <c r="L36" s="197"/>
      <c r="M36" s="197"/>
      <c r="N36" s="197"/>
      <c r="O36" s="197"/>
      <c r="P36" s="197"/>
      <c r="Q36" s="197"/>
      <c r="R36" s="197"/>
      <c r="S36" s="197"/>
      <c r="T36" s="197"/>
    </row>
    <row r="37" spans="1:20" x14ac:dyDescent="0.2">
      <c r="A37" s="110"/>
      <c r="B37" s="195"/>
      <c r="C37" s="197"/>
      <c r="D37" s="197"/>
      <c r="E37" s="197"/>
      <c r="F37" s="197"/>
      <c r="G37" s="197"/>
      <c r="H37" s="197"/>
      <c r="I37" s="197"/>
      <c r="J37" s="197"/>
      <c r="K37" s="197"/>
      <c r="L37" s="197"/>
      <c r="M37" s="197"/>
      <c r="N37" s="197"/>
      <c r="O37" s="197"/>
      <c r="P37" s="197"/>
      <c r="Q37" s="197"/>
      <c r="R37" s="197"/>
      <c r="S37" s="197"/>
      <c r="T37" s="197"/>
    </row>
    <row r="38" spans="1:20" x14ac:dyDescent="0.2">
      <c r="A38" s="110"/>
      <c r="B38" s="195"/>
      <c r="C38" s="197"/>
      <c r="D38" s="197"/>
      <c r="E38" s="197"/>
      <c r="F38" s="197"/>
      <c r="G38" s="197"/>
      <c r="H38" s="197"/>
      <c r="I38" s="197"/>
      <c r="J38" s="197"/>
      <c r="K38" s="197"/>
      <c r="L38" s="197"/>
      <c r="M38" s="197"/>
      <c r="N38" s="197"/>
      <c r="O38" s="197"/>
      <c r="P38" s="197"/>
      <c r="Q38" s="197"/>
      <c r="R38" s="197"/>
      <c r="S38" s="197"/>
      <c r="T38" s="197"/>
    </row>
    <row r="39" spans="1:20" x14ac:dyDescent="0.2">
      <c r="A39" s="110"/>
      <c r="B39" s="195"/>
      <c r="C39" s="197"/>
      <c r="D39" s="197"/>
      <c r="E39" s="197"/>
      <c r="F39" s="197"/>
      <c r="G39" s="197"/>
      <c r="H39" s="197"/>
      <c r="I39" s="197"/>
      <c r="J39" s="197"/>
      <c r="K39" s="197"/>
      <c r="L39" s="197"/>
      <c r="M39" s="197"/>
      <c r="N39" s="197"/>
      <c r="O39" s="197"/>
      <c r="P39" s="197"/>
      <c r="Q39" s="197"/>
      <c r="R39" s="197"/>
      <c r="S39" s="197"/>
      <c r="T39" s="197"/>
    </row>
    <row r="40" spans="1:20" x14ac:dyDescent="0.2">
      <c r="A40" s="110"/>
      <c r="B40" s="195"/>
      <c r="C40" s="197"/>
      <c r="D40" s="197"/>
      <c r="E40" s="197"/>
      <c r="F40" s="197"/>
      <c r="G40" s="197"/>
      <c r="H40" s="197"/>
      <c r="I40" s="197"/>
      <c r="J40" s="197"/>
      <c r="K40" s="197"/>
      <c r="L40" s="197"/>
      <c r="M40" s="197"/>
      <c r="N40" s="197"/>
      <c r="O40" s="197"/>
      <c r="P40" s="197"/>
      <c r="Q40" s="197"/>
      <c r="R40" s="197"/>
      <c r="S40" s="197"/>
      <c r="T40" s="197"/>
    </row>
    <row r="41" spans="1:20" x14ac:dyDescent="0.2">
      <c r="A41" s="110"/>
      <c r="B41" s="415"/>
      <c r="C41" s="197"/>
      <c r="D41" s="197"/>
      <c r="E41" s="197"/>
      <c r="F41" s="197"/>
      <c r="G41" s="197"/>
      <c r="H41" s="197"/>
      <c r="I41" s="197"/>
      <c r="J41" s="197"/>
      <c r="K41" s="197"/>
      <c r="L41" s="197"/>
      <c r="M41" s="197"/>
      <c r="N41" s="197"/>
      <c r="O41" s="197"/>
      <c r="P41" s="197"/>
      <c r="Q41" s="197"/>
      <c r="R41" s="197"/>
      <c r="S41" s="197"/>
      <c r="T41" s="197"/>
    </row>
    <row r="42" spans="1:20" x14ac:dyDescent="0.2">
      <c r="A42" s="110"/>
      <c r="B42" s="415"/>
      <c r="C42" s="197"/>
      <c r="D42" s="197"/>
      <c r="E42" s="197"/>
      <c r="F42" s="197"/>
      <c r="G42" s="197"/>
      <c r="H42" s="197"/>
      <c r="I42" s="197"/>
      <c r="J42" s="197"/>
      <c r="K42" s="197"/>
      <c r="L42" s="197"/>
      <c r="M42" s="197"/>
      <c r="N42" s="197"/>
      <c r="O42" s="197"/>
      <c r="P42" s="197"/>
      <c r="Q42" s="197"/>
      <c r="R42" s="197"/>
      <c r="S42" s="197"/>
      <c r="T42" s="197"/>
    </row>
    <row r="43" spans="1:20" x14ac:dyDescent="0.2">
      <c r="A43" s="110"/>
      <c r="B43" s="415"/>
      <c r="C43" s="197"/>
      <c r="D43" s="197"/>
      <c r="E43" s="197"/>
      <c r="F43" s="197"/>
      <c r="G43" s="197"/>
      <c r="H43" s="197"/>
      <c r="I43" s="197"/>
      <c r="J43" s="197"/>
      <c r="K43" s="197"/>
      <c r="L43" s="197"/>
      <c r="M43" s="197"/>
      <c r="N43" s="197"/>
      <c r="O43" s="197"/>
      <c r="P43" s="197"/>
      <c r="Q43" s="197"/>
      <c r="R43" s="197"/>
      <c r="S43" s="197"/>
      <c r="T43" s="197"/>
    </row>
    <row r="44" spans="1:20" x14ac:dyDescent="0.2">
      <c r="A44" s="110"/>
      <c r="B44" s="415"/>
      <c r="C44" s="197"/>
      <c r="D44" s="197"/>
      <c r="E44" s="197"/>
      <c r="F44" s="197"/>
      <c r="G44" s="197"/>
      <c r="H44" s="197"/>
      <c r="I44" s="197"/>
      <c r="J44" s="197"/>
      <c r="K44" s="197"/>
      <c r="L44" s="197"/>
      <c r="M44" s="197"/>
      <c r="N44" s="197"/>
      <c r="O44" s="197"/>
      <c r="P44" s="197"/>
      <c r="Q44" s="198"/>
      <c r="R44" s="197"/>
      <c r="S44" s="197"/>
      <c r="T44" s="197"/>
    </row>
    <row r="45" spans="1:20" x14ac:dyDescent="0.2">
      <c r="A45" s="110"/>
      <c r="B45" s="415"/>
      <c r="C45" s="197"/>
      <c r="D45" s="197"/>
      <c r="E45" s="197"/>
      <c r="F45" s="197"/>
      <c r="G45" s="197"/>
      <c r="H45" s="197"/>
      <c r="I45" s="197"/>
      <c r="J45" s="197"/>
      <c r="K45" s="197"/>
      <c r="L45" s="197"/>
      <c r="M45" s="197"/>
      <c r="N45" s="197"/>
      <c r="O45" s="197"/>
      <c r="P45" s="197"/>
      <c r="Q45" s="198"/>
      <c r="R45" s="197"/>
      <c r="S45" s="197"/>
      <c r="T45" s="197"/>
    </row>
    <row r="46" spans="1:20" x14ac:dyDescent="0.2">
      <c r="A46" s="110"/>
      <c r="B46" s="415"/>
      <c r="C46" s="197"/>
      <c r="D46" s="197"/>
      <c r="E46" s="197"/>
      <c r="F46" s="197"/>
      <c r="G46" s="197"/>
      <c r="H46" s="197"/>
      <c r="I46" s="197"/>
      <c r="J46" s="197"/>
      <c r="K46" s="197"/>
      <c r="L46" s="197"/>
      <c r="M46" s="197"/>
      <c r="N46" s="197"/>
      <c r="O46" s="197"/>
      <c r="P46" s="197"/>
      <c r="Q46" s="198"/>
      <c r="R46" s="197"/>
      <c r="S46" s="197"/>
      <c r="T46" s="197"/>
    </row>
    <row r="47" spans="1:20" x14ac:dyDescent="0.2">
      <c r="A47" s="110"/>
      <c r="B47" s="415"/>
      <c r="C47" s="198"/>
      <c r="D47" s="198"/>
      <c r="E47" s="198"/>
      <c r="F47" s="198"/>
      <c r="G47" s="198"/>
      <c r="H47" s="198"/>
      <c r="I47" s="198"/>
      <c r="J47" s="198"/>
      <c r="K47" s="198"/>
      <c r="L47" s="198"/>
      <c r="M47" s="198"/>
      <c r="N47" s="198"/>
      <c r="O47" s="198"/>
      <c r="P47" s="198"/>
      <c r="Q47" s="198"/>
      <c r="R47" s="197"/>
      <c r="S47" s="198"/>
      <c r="T47" s="198"/>
    </row>
    <row r="48" spans="1:20" x14ac:dyDescent="0.2">
      <c r="A48" s="110"/>
      <c r="B48" s="415"/>
      <c r="C48" s="197"/>
      <c r="D48" s="197"/>
      <c r="E48" s="197"/>
      <c r="F48" s="197"/>
      <c r="G48" s="197"/>
      <c r="H48" s="197"/>
      <c r="I48" s="197"/>
      <c r="J48" s="197"/>
      <c r="K48" s="197"/>
      <c r="L48" s="197"/>
      <c r="M48" s="197"/>
      <c r="N48" s="197"/>
      <c r="O48" s="197"/>
      <c r="P48" s="197"/>
      <c r="Q48" s="197"/>
      <c r="R48" s="197"/>
      <c r="S48" s="197"/>
      <c r="T48" s="197"/>
    </row>
    <row r="49" spans="1:20" x14ac:dyDescent="0.2">
      <c r="A49" s="110"/>
      <c r="B49" s="415"/>
      <c r="C49" s="197"/>
      <c r="D49" s="197"/>
      <c r="E49" s="197"/>
      <c r="F49" s="197"/>
      <c r="G49" s="197"/>
      <c r="H49" s="197"/>
      <c r="I49" s="197"/>
      <c r="J49" s="197"/>
      <c r="K49" s="197"/>
      <c r="L49" s="197"/>
      <c r="M49" s="197"/>
      <c r="N49" s="197"/>
      <c r="O49" s="197"/>
      <c r="P49" s="197"/>
      <c r="Q49" s="197"/>
      <c r="R49" s="197"/>
      <c r="S49" s="197"/>
      <c r="T49" s="197"/>
    </row>
    <row r="50" spans="1:20" x14ac:dyDescent="0.2">
      <c r="A50" s="110"/>
      <c r="B50" s="106"/>
      <c r="C50" s="197"/>
      <c r="D50" s="197"/>
      <c r="E50" s="197"/>
      <c r="F50" s="197"/>
      <c r="G50" s="197"/>
      <c r="H50" s="197"/>
      <c r="I50" s="197"/>
      <c r="J50" s="197"/>
      <c r="K50" s="197"/>
      <c r="L50" s="197"/>
      <c r="M50" s="197"/>
      <c r="N50" s="197"/>
      <c r="O50" s="197"/>
      <c r="P50" s="197"/>
      <c r="Q50" s="197"/>
      <c r="R50" s="197"/>
      <c r="S50" s="197"/>
      <c r="T50" s="197"/>
    </row>
    <row r="51" spans="1:20" x14ac:dyDescent="0.2">
      <c r="A51" s="110"/>
      <c r="B51" s="106"/>
      <c r="C51" s="197"/>
      <c r="D51" s="197"/>
      <c r="E51" s="197"/>
      <c r="F51" s="197"/>
      <c r="G51" s="197"/>
      <c r="H51" s="197"/>
      <c r="I51" s="197"/>
      <c r="J51" s="197"/>
      <c r="K51" s="197"/>
      <c r="L51" s="197"/>
      <c r="M51" s="197"/>
      <c r="N51" s="197"/>
      <c r="O51" s="197"/>
      <c r="P51" s="197"/>
      <c r="Q51" s="197"/>
      <c r="R51" s="197"/>
      <c r="S51" s="197"/>
      <c r="T51" s="197"/>
    </row>
    <row r="52" spans="1:20" x14ac:dyDescent="0.2">
      <c r="A52" s="110"/>
      <c r="B52" s="106"/>
      <c r="C52" s="197"/>
      <c r="D52" s="197"/>
      <c r="E52" s="197"/>
      <c r="F52" s="197"/>
      <c r="G52" s="197"/>
      <c r="H52" s="197"/>
      <c r="I52" s="197"/>
      <c r="J52" s="197"/>
      <c r="K52" s="197"/>
      <c r="L52" s="197"/>
      <c r="M52" s="197"/>
      <c r="N52" s="197"/>
      <c r="O52" s="197"/>
      <c r="P52" s="197"/>
      <c r="Q52" s="197"/>
      <c r="R52" s="197"/>
      <c r="S52" s="197"/>
      <c r="T52" s="197"/>
    </row>
    <row r="53" spans="1:20" x14ac:dyDescent="0.2">
      <c r="A53" s="110"/>
      <c r="B53" s="106"/>
      <c r="C53" s="197"/>
      <c r="D53" s="197"/>
      <c r="E53" s="197"/>
      <c r="F53" s="197"/>
      <c r="G53" s="197"/>
      <c r="H53" s="197"/>
      <c r="I53" s="197"/>
      <c r="J53" s="197"/>
      <c r="K53" s="197"/>
      <c r="L53" s="197"/>
      <c r="M53" s="197"/>
      <c r="N53" s="197"/>
      <c r="O53" s="197"/>
      <c r="P53" s="197"/>
      <c r="Q53" s="197"/>
      <c r="R53" s="197"/>
      <c r="S53" s="197"/>
      <c r="T53" s="197"/>
    </row>
    <row r="54" spans="1:20" x14ac:dyDescent="0.2">
      <c r="A54" s="110"/>
      <c r="B54" s="106"/>
      <c r="C54" s="197"/>
      <c r="D54" s="197"/>
      <c r="E54" s="197"/>
      <c r="F54" s="197"/>
      <c r="G54" s="197"/>
      <c r="H54" s="197"/>
      <c r="I54" s="197"/>
      <c r="J54" s="197"/>
      <c r="K54" s="197"/>
      <c r="L54" s="197"/>
      <c r="M54" s="197"/>
      <c r="N54" s="197"/>
      <c r="O54" s="197"/>
      <c r="P54" s="197"/>
      <c r="Q54" s="197"/>
      <c r="R54" s="197"/>
      <c r="S54" s="197"/>
      <c r="T54" s="197"/>
    </row>
    <row r="55" spans="1:20" x14ac:dyDescent="0.2">
      <c r="A55" s="110"/>
      <c r="B55" s="415"/>
      <c r="C55" s="197"/>
      <c r="D55" s="197"/>
      <c r="E55" s="197"/>
      <c r="F55" s="197"/>
      <c r="G55" s="197"/>
      <c r="H55" s="197"/>
      <c r="I55" s="197"/>
      <c r="J55" s="197"/>
      <c r="K55" s="197"/>
      <c r="L55" s="197"/>
      <c r="M55" s="197"/>
      <c r="N55" s="197"/>
      <c r="O55" s="197"/>
      <c r="P55" s="197"/>
      <c r="Q55" s="197"/>
      <c r="R55" s="197"/>
      <c r="S55" s="197"/>
      <c r="T55" s="197"/>
    </row>
    <row r="56" spans="1:20" x14ac:dyDescent="0.2">
      <c r="A56" s="110"/>
      <c r="B56" s="106"/>
    </row>
    <row r="57" spans="1:20" x14ac:dyDescent="0.2">
      <c r="B57" s="106"/>
    </row>
    <row r="58" spans="1:20" x14ac:dyDescent="0.2">
      <c r="B58" s="106"/>
    </row>
    <row r="59" spans="1:20" x14ac:dyDescent="0.2">
      <c r="B59" s="106"/>
    </row>
    <row r="60" spans="1:20" x14ac:dyDescent="0.2">
      <c r="B60" s="106"/>
    </row>
    <row r="61" spans="1:20" x14ac:dyDescent="0.2">
      <c r="B61" s="106"/>
    </row>
    <row r="62" spans="1:20" x14ac:dyDescent="0.2">
      <c r="B62" s="106"/>
    </row>
    <row r="63" spans="1:20" x14ac:dyDescent="0.2">
      <c r="B63" s="106"/>
    </row>
    <row r="64" spans="1:20" x14ac:dyDescent="0.2">
      <c r="B64" s="106"/>
    </row>
    <row r="65" spans="2:2" x14ac:dyDescent="0.2">
      <c r="B65" s="106"/>
    </row>
    <row r="66" spans="2:2" x14ac:dyDescent="0.2">
      <c r="B66" s="106"/>
    </row>
    <row r="67" spans="2:2" x14ac:dyDescent="0.2">
      <c r="B67" s="106"/>
    </row>
    <row r="68" spans="2:2" x14ac:dyDescent="0.2">
      <c r="B68" s="106"/>
    </row>
    <row r="69" spans="2:2" x14ac:dyDescent="0.2">
      <c r="B69" s="106"/>
    </row>
    <row r="70" spans="2:2" x14ac:dyDescent="0.2">
      <c r="B70" s="106"/>
    </row>
    <row r="71" spans="2:2" x14ac:dyDescent="0.2">
      <c r="B71" s="106"/>
    </row>
    <row r="72" spans="2:2" x14ac:dyDescent="0.2">
      <c r="B72" s="106"/>
    </row>
    <row r="73" spans="2:2" x14ac:dyDescent="0.2">
      <c r="B73" s="106"/>
    </row>
    <row r="74" spans="2:2" x14ac:dyDescent="0.2">
      <c r="B74" s="106"/>
    </row>
    <row r="75" spans="2:2" x14ac:dyDescent="0.2">
      <c r="B75" s="106"/>
    </row>
    <row r="76" spans="2:2" x14ac:dyDescent="0.2">
      <c r="B76" s="106"/>
    </row>
    <row r="77" spans="2:2" x14ac:dyDescent="0.2">
      <c r="B77" s="106"/>
    </row>
    <row r="78" spans="2:2" x14ac:dyDescent="0.2">
      <c r="B78" s="106"/>
    </row>
    <row r="79" spans="2:2" x14ac:dyDescent="0.2">
      <c r="B79" s="106"/>
    </row>
    <row r="80" spans="2:2" x14ac:dyDescent="0.2">
      <c r="B80" s="106"/>
    </row>
    <row r="81" spans="2:2" x14ac:dyDescent="0.2">
      <c r="B81" s="106"/>
    </row>
    <row r="82" spans="2:2" x14ac:dyDescent="0.2">
      <c r="B82" s="106"/>
    </row>
    <row r="83" spans="2:2" x14ac:dyDescent="0.2">
      <c r="B83" s="106"/>
    </row>
    <row r="84" spans="2:2" x14ac:dyDescent="0.2">
      <c r="B84" s="106"/>
    </row>
    <row r="85" spans="2:2" x14ac:dyDescent="0.2">
      <c r="B85" s="106"/>
    </row>
    <row r="86" spans="2:2" x14ac:dyDescent="0.2">
      <c r="B86" s="106"/>
    </row>
    <row r="87" spans="2:2" x14ac:dyDescent="0.2">
      <c r="B87" s="106"/>
    </row>
    <row r="88" spans="2:2" x14ac:dyDescent="0.2">
      <c r="B88" s="106"/>
    </row>
    <row r="89" spans="2:2" x14ac:dyDescent="0.2">
      <c r="B89" s="106"/>
    </row>
    <row r="90" spans="2:2" x14ac:dyDescent="0.2">
      <c r="B90" s="106"/>
    </row>
    <row r="91" spans="2:2" x14ac:dyDescent="0.2">
      <c r="B91" s="106"/>
    </row>
    <row r="92" spans="2:2" x14ac:dyDescent="0.2">
      <c r="B92" s="106"/>
    </row>
    <row r="93" spans="2:2" x14ac:dyDescent="0.2">
      <c r="B93" s="106"/>
    </row>
    <row r="94" spans="2:2" x14ac:dyDescent="0.2">
      <c r="B94" s="106"/>
    </row>
    <row r="95" spans="2:2" x14ac:dyDescent="0.2">
      <c r="B95" s="106"/>
    </row>
    <row r="96" spans="2:2" x14ac:dyDescent="0.2">
      <c r="B96" s="106"/>
    </row>
    <row r="97" spans="2:2" x14ac:dyDescent="0.2">
      <c r="B97" s="106"/>
    </row>
    <row r="98" spans="2:2" x14ac:dyDescent="0.2">
      <c r="B98" s="106"/>
    </row>
    <row r="99" spans="2:2" x14ac:dyDescent="0.2">
      <c r="B99" s="106"/>
    </row>
    <row r="100" spans="2:2" x14ac:dyDescent="0.2">
      <c r="B100" s="106"/>
    </row>
    <row r="101" spans="2:2" x14ac:dyDescent="0.2">
      <c r="B101" s="106"/>
    </row>
    <row r="102" spans="2:2" x14ac:dyDescent="0.2">
      <c r="B102" s="106"/>
    </row>
    <row r="103" spans="2:2" x14ac:dyDescent="0.2">
      <c r="B103" s="106"/>
    </row>
    <row r="104" spans="2:2" x14ac:dyDescent="0.2">
      <c r="B104" s="106"/>
    </row>
    <row r="105" spans="2:2" x14ac:dyDescent="0.2">
      <c r="B105" s="106"/>
    </row>
    <row r="106" spans="2:2" x14ac:dyDescent="0.2">
      <c r="B106" s="106"/>
    </row>
    <row r="107" spans="2:2" x14ac:dyDescent="0.2">
      <c r="B107" s="106"/>
    </row>
    <row r="108" spans="2:2" x14ac:dyDescent="0.2">
      <c r="B108" s="106"/>
    </row>
    <row r="109" spans="2:2" x14ac:dyDescent="0.2">
      <c r="B109" s="106"/>
    </row>
    <row r="110" spans="2:2" x14ac:dyDescent="0.2">
      <c r="B110" s="106"/>
    </row>
    <row r="111" spans="2:2" x14ac:dyDescent="0.2">
      <c r="B111" s="106"/>
    </row>
    <row r="112" spans="2:2" x14ac:dyDescent="0.2">
      <c r="B112" s="106"/>
    </row>
    <row r="113" spans="2:2" x14ac:dyDescent="0.2">
      <c r="B113" s="106"/>
    </row>
    <row r="114" spans="2:2" x14ac:dyDescent="0.2">
      <c r="B114" s="106"/>
    </row>
    <row r="115" spans="2:2" x14ac:dyDescent="0.2">
      <c r="B115" s="106"/>
    </row>
    <row r="116" spans="2:2" x14ac:dyDescent="0.2">
      <c r="B116" s="106"/>
    </row>
    <row r="117" spans="2:2" x14ac:dyDescent="0.2">
      <c r="B117" s="106"/>
    </row>
    <row r="118" spans="2:2" x14ac:dyDescent="0.2">
      <c r="B118" s="106"/>
    </row>
    <row r="119" spans="2:2" x14ac:dyDescent="0.2">
      <c r="B119" s="106"/>
    </row>
    <row r="120" spans="2:2" x14ac:dyDescent="0.2">
      <c r="B120" s="106"/>
    </row>
    <row r="121" spans="2:2" x14ac:dyDescent="0.2">
      <c r="B121" s="106"/>
    </row>
    <row r="122" spans="2:2" x14ac:dyDescent="0.2">
      <c r="B122" s="106"/>
    </row>
    <row r="123" spans="2:2" x14ac:dyDescent="0.2">
      <c r="B123" s="106"/>
    </row>
    <row r="124" spans="2:2" x14ac:dyDescent="0.2">
      <c r="B124" s="106"/>
    </row>
    <row r="125" spans="2:2" x14ac:dyDescent="0.2">
      <c r="B125" s="106"/>
    </row>
    <row r="126" spans="2:2" x14ac:dyDescent="0.2">
      <c r="B126" s="106"/>
    </row>
    <row r="127" spans="2:2" x14ac:dyDescent="0.2">
      <c r="B127" s="106"/>
    </row>
    <row r="128" spans="2:2" x14ac:dyDescent="0.2">
      <c r="B128" s="106"/>
    </row>
    <row r="129" spans="2:2" x14ac:dyDescent="0.2">
      <c r="B129" s="106"/>
    </row>
    <row r="130" spans="2:2" x14ac:dyDescent="0.2">
      <c r="B130" s="106"/>
    </row>
    <row r="131" spans="2:2" x14ac:dyDescent="0.2">
      <c r="B131" s="106"/>
    </row>
    <row r="132" spans="2:2" x14ac:dyDescent="0.2">
      <c r="B132" s="106"/>
    </row>
    <row r="133" spans="2:2" x14ac:dyDescent="0.2">
      <c r="B133" s="106"/>
    </row>
    <row r="134" spans="2:2" x14ac:dyDescent="0.2">
      <c r="B134" s="106"/>
    </row>
    <row r="135" spans="2:2" x14ac:dyDescent="0.2">
      <c r="B135" s="106"/>
    </row>
    <row r="136" spans="2:2" x14ac:dyDescent="0.2">
      <c r="B136" s="106"/>
    </row>
    <row r="137" spans="2:2" x14ac:dyDescent="0.2">
      <c r="B137" s="106"/>
    </row>
    <row r="138" spans="2:2" x14ac:dyDescent="0.2">
      <c r="B138" s="106"/>
    </row>
    <row r="139" spans="2:2" x14ac:dyDescent="0.2">
      <c r="B139" s="106"/>
    </row>
    <row r="140" spans="2:2" x14ac:dyDescent="0.2">
      <c r="B140" s="106"/>
    </row>
    <row r="141" spans="2:2" x14ac:dyDescent="0.2">
      <c r="B141" s="106"/>
    </row>
    <row r="142" spans="2:2" x14ac:dyDescent="0.2">
      <c r="B142" s="106"/>
    </row>
    <row r="143" spans="2:2" x14ac:dyDescent="0.2">
      <c r="B143" s="106"/>
    </row>
    <row r="144" spans="2:2" x14ac:dyDescent="0.2">
      <c r="B144" s="106"/>
    </row>
    <row r="145" spans="2:2" x14ac:dyDescent="0.2">
      <c r="B145" s="106"/>
    </row>
    <row r="146" spans="2:2" x14ac:dyDescent="0.2">
      <c r="B146" s="106"/>
    </row>
    <row r="147" spans="2:2" x14ac:dyDescent="0.2">
      <c r="B147" s="106"/>
    </row>
    <row r="148" spans="2:2" x14ac:dyDescent="0.2">
      <c r="B148" s="106"/>
    </row>
    <row r="149" spans="2:2" x14ac:dyDescent="0.2">
      <c r="B149" s="106"/>
    </row>
    <row r="150" spans="2:2" x14ac:dyDescent="0.2">
      <c r="B150" s="106"/>
    </row>
    <row r="151" spans="2:2" x14ac:dyDescent="0.2">
      <c r="B151" s="106"/>
    </row>
    <row r="152" spans="2:2" x14ac:dyDescent="0.2">
      <c r="B152" s="106"/>
    </row>
    <row r="153" spans="2:2" x14ac:dyDescent="0.2">
      <c r="B153" s="106"/>
    </row>
    <row r="154" spans="2:2" x14ac:dyDescent="0.2">
      <c r="B154" s="106"/>
    </row>
    <row r="155" spans="2:2" x14ac:dyDescent="0.2">
      <c r="B155" s="106"/>
    </row>
    <row r="156" spans="2:2" x14ac:dyDescent="0.2">
      <c r="B156" s="106"/>
    </row>
    <row r="157" spans="2:2" x14ac:dyDescent="0.2">
      <c r="B157" s="106"/>
    </row>
    <row r="158" spans="2:2" x14ac:dyDescent="0.2">
      <c r="B158" s="106"/>
    </row>
    <row r="159" spans="2:2" x14ac:dyDescent="0.2">
      <c r="B159" s="106"/>
    </row>
    <row r="160" spans="2:2" x14ac:dyDescent="0.2">
      <c r="B160" s="106"/>
    </row>
    <row r="161" spans="2:2" x14ac:dyDescent="0.2">
      <c r="B161" s="106"/>
    </row>
    <row r="162" spans="2:2" x14ac:dyDescent="0.2">
      <c r="B162" s="106"/>
    </row>
    <row r="163" spans="2:2" x14ac:dyDescent="0.2">
      <c r="B163" s="106"/>
    </row>
    <row r="164" spans="2:2" x14ac:dyDescent="0.2">
      <c r="B164" s="106"/>
    </row>
    <row r="165" spans="2:2" x14ac:dyDescent="0.2">
      <c r="B165" s="106"/>
    </row>
    <row r="166" spans="2:2" x14ac:dyDescent="0.2">
      <c r="B166" s="106"/>
    </row>
    <row r="167" spans="2:2" x14ac:dyDescent="0.2">
      <c r="B167" s="106"/>
    </row>
    <row r="168" spans="2:2" x14ac:dyDescent="0.2">
      <c r="B168" s="106"/>
    </row>
    <row r="169" spans="2:2" x14ac:dyDescent="0.2">
      <c r="B169" s="106"/>
    </row>
    <row r="170" spans="2:2" x14ac:dyDescent="0.2">
      <c r="B170" s="106"/>
    </row>
    <row r="171" spans="2:2" x14ac:dyDescent="0.2">
      <c r="B171" s="106"/>
    </row>
    <row r="172" spans="2:2" x14ac:dyDescent="0.2">
      <c r="B172" s="106"/>
    </row>
    <row r="173" spans="2:2" x14ac:dyDescent="0.2">
      <c r="B173" s="106"/>
    </row>
    <row r="174" spans="2:2" x14ac:dyDescent="0.2">
      <c r="B174" s="106"/>
    </row>
    <row r="175" spans="2:2" x14ac:dyDescent="0.2">
      <c r="B175" s="106"/>
    </row>
    <row r="176" spans="2:2" x14ac:dyDescent="0.2">
      <c r="B176" s="106"/>
    </row>
    <row r="177" spans="2:2" x14ac:dyDescent="0.2">
      <c r="B177" s="106"/>
    </row>
    <row r="178" spans="2:2" x14ac:dyDescent="0.2">
      <c r="B178" s="106"/>
    </row>
    <row r="179" spans="2:2" x14ac:dyDescent="0.2">
      <c r="B179" s="106"/>
    </row>
    <row r="180" spans="2:2" x14ac:dyDescent="0.2">
      <c r="B180" s="106"/>
    </row>
    <row r="181" spans="2:2" x14ac:dyDescent="0.2">
      <c r="B181" s="106"/>
    </row>
    <row r="182" spans="2:2" x14ac:dyDescent="0.2">
      <c r="B182" s="106"/>
    </row>
    <row r="183" spans="2:2" x14ac:dyDescent="0.2">
      <c r="B183" s="106"/>
    </row>
    <row r="184" spans="2:2" x14ac:dyDescent="0.2">
      <c r="B184" s="106"/>
    </row>
    <row r="185" spans="2:2" x14ac:dyDescent="0.2">
      <c r="B185" s="106"/>
    </row>
    <row r="186" spans="2:2" x14ac:dyDescent="0.2">
      <c r="B186" s="106"/>
    </row>
    <row r="187" spans="2:2" x14ac:dyDescent="0.2">
      <c r="B187" s="106"/>
    </row>
    <row r="188" spans="2:2" x14ac:dyDescent="0.2">
      <c r="B188" s="106"/>
    </row>
    <row r="189" spans="2:2" x14ac:dyDescent="0.2">
      <c r="B189" s="106"/>
    </row>
    <row r="190" spans="2:2" x14ac:dyDescent="0.2">
      <c r="B190" s="106"/>
    </row>
    <row r="191" spans="2:2" x14ac:dyDescent="0.2">
      <c r="B191" s="106"/>
    </row>
    <row r="192" spans="2:2" x14ac:dyDescent="0.2">
      <c r="B192" s="106"/>
    </row>
    <row r="193" spans="2:2" x14ac:dyDescent="0.2">
      <c r="B193" s="106"/>
    </row>
    <row r="194" spans="2:2" x14ac:dyDescent="0.2">
      <c r="B194" s="106"/>
    </row>
    <row r="195" spans="2:2" x14ac:dyDescent="0.2">
      <c r="B195" s="106"/>
    </row>
    <row r="196" spans="2:2" x14ac:dyDescent="0.2">
      <c r="B196" s="106"/>
    </row>
    <row r="197" spans="2:2" x14ac:dyDescent="0.2">
      <c r="B197" s="106"/>
    </row>
    <row r="198" spans="2:2" x14ac:dyDescent="0.2">
      <c r="B198" s="106"/>
    </row>
    <row r="199" spans="2:2" x14ac:dyDescent="0.2">
      <c r="B199" s="106"/>
    </row>
    <row r="200" spans="2:2" x14ac:dyDescent="0.2">
      <c r="B200" s="106"/>
    </row>
    <row r="201" spans="2:2" x14ac:dyDescent="0.2">
      <c r="B201" s="106"/>
    </row>
    <row r="202" spans="2:2" x14ac:dyDescent="0.2">
      <c r="B202" s="106"/>
    </row>
    <row r="203" spans="2:2" x14ac:dyDescent="0.2">
      <c r="B203" s="106"/>
    </row>
    <row r="204" spans="2:2" x14ac:dyDescent="0.2">
      <c r="B204" s="106"/>
    </row>
    <row r="205" spans="2:2" x14ac:dyDescent="0.2">
      <c r="B205" s="60"/>
    </row>
  </sheetData>
  <phoneticPr fontId="2" type="noConversion"/>
  <pageMargins left="0.78740157499999996" right="0.78740157499999996" top="0.984251969" bottom="0.984251969" header="0.4921259845" footer="0.4921259845"/>
  <headerFooter alignWithMargins="0"/>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2</vt:i4>
      </vt:variant>
    </vt:vector>
  </HeadingPairs>
  <TitlesOfParts>
    <vt:vector size="33" baseType="lpstr">
      <vt:lpstr>UserInterface</vt:lpstr>
      <vt:lpstr>Changelog</vt:lpstr>
      <vt:lpstr>LanguageTable</vt:lpstr>
      <vt:lpstr>Errorhandling</vt:lpstr>
      <vt:lpstr>ProductTable</vt:lpstr>
      <vt:lpstr>CT_HELP</vt:lpstr>
      <vt:lpstr>CT_APtoWLAN</vt:lpstr>
      <vt:lpstr>CT_APtoSTA</vt:lpstr>
      <vt:lpstr>CT_APtoC1</vt:lpstr>
      <vt:lpstr>CT_C1toANT</vt:lpstr>
      <vt:lpstr>CT_STAtoANT</vt:lpstr>
      <vt:lpstr>CT_STAtoWLAN</vt:lpstr>
      <vt:lpstr>CT_SAtoC1</vt:lpstr>
      <vt:lpstr>CT_APtoANT</vt:lpstr>
      <vt:lpstr>PointATempTables</vt:lpstr>
      <vt:lpstr>TDCable</vt:lpstr>
      <vt:lpstr>TDAntenna</vt:lpstr>
      <vt:lpstr>TDSurgeArrestor</vt:lpstr>
      <vt:lpstr>TDWLANModule</vt:lpstr>
      <vt:lpstr>TDcustomEIRP</vt:lpstr>
      <vt:lpstr>PointBTempTables</vt:lpstr>
      <vt:lpstr>SelectionTables</vt:lpstr>
      <vt:lpstr>TDSelected</vt:lpstr>
      <vt:lpstr>MastHeight</vt:lpstr>
      <vt:lpstr>Calculations</vt:lpstr>
      <vt:lpstr>Display</vt:lpstr>
      <vt:lpstr>Calc</vt:lpstr>
      <vt:lpstr>Debug</vt:lpstr>
      <vt:lpstr>Banner</vt:lpstr>
      <vt:lpstr>GraphicsAntenna</vt:lpstr>
      <vt:lpstr>GraphicsWLAN</vt:lpstr>
      <vt:lpstr>CT_APtoWLAN!Druckbereich</vt:lpstr>
      <vt:lpstr>HILFE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LCS Antenna Calculator</dc:title>
  <dc:creator>Kohlmann, Alexander</dc:creator>
  <cp:lastModifiedBy>Maria Abbing</cp:lastModifiedBy>
  <cp:lastPrinted>2018-03-07T07:45:32Z</cp:lastPrinted>
  <dcterms:created xsi:type="dcterms:W3CDTF">2008-02-28T09:00:36Z</dcterms:created>
  <dcterms:modified xsi:type="dcterms:W3CDTF">2022-12-15T09:11:51Z</dcterms:modified>
</cp:coreProperties>
</file>